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45" windowWidth="9495" windowHeight="9450" tabRatio="811" firstSheet="1" activeTab="1"/>
  </bookViews>
  <sheets>
    <sheet name="Costing 11-5-13 - LCCEA #s" sheetId="53" r:id="rId1"/>
    <sheet name="Bargaining Allowance" sheetId="47" r:id="rId2"/>
    <sheet name="Supposal Inputs" sheetId="24" r:id="rId3"/>
  </sheets>
  <externalReferences>
    <externalReference r:id="rId4"/>
  </externalReferences>
  <definedNames>
    <definedName name="_xlnm.Print_Area" localSheetId="1">'Bargaining Allowance'!$A$1:$F$34</definedName>
    <definedName name="_xlnm.Print_Area" localSheetId="2">'Supposal Inputs'!$A$1:$E$39</definedName>
  </definedNames>
  <calcPr calcId="145621" iterate="1" iterateCount="1"/>
</workbook>
</file>

<file path=xl/calcChain.xml><?xml version="1.0" encoding="utf-8"?>
<calcChain xmlns="http://schemas.openxmlformats.org/spreadsheetml/2006/main">
  <c r="H8" i="24" l="1"/>
  <c r="F15" i="53"/>
  <c r="G15" i="53" s="1"/>
  <c r="F23" i="53"/>
  <c r="G23" i="53" s="1"/>
  <c r="I23" i="53" s="1"/>
  <c r="F22" i="53"/>
  <c r="G22" i="53" s="1"/>
  <c r="F21" i="53"/>
  <c r="G21" i="53" s="1"/>
  <c r="G5" i="53"/>
  <c r="D48" i="53"/>
  <c r="D47" i="53"/>
  <c r="D46" i="53"/>
  <c r="D45" i="53"/>
  <c r="D44" i="53"/>
  <c r="D43" i="53"/>
  <c r="D42" i="53"/>
  <c r="I34" i="53"/>
  <c r="E34" i="53"/>
  <c r="I30" i="53"/>
  <c r="C30" i="53"/>
  <c r="E30" i="53" s="1"/>
  <c r="G27" i="53"/>
  <c r="G26" i="53"/>
  <c r="I26" i="53" s="1"/>
  <c r="B26" i="53"/>
  <c r="C26" i="53" s="1"/>
  <c r="I25" i="53"/>
  <c r="G25" i="53"/>
  <c r="D25" i="53"/>
  <c r="D26" i="53" s="1"/>
  <c r="E26" i="53" s="1"/>
  <c r="B25" i="53"/>
  <c r="C25" i="53" s="1"/>
  <c r="H18" i="53"/>
  <c r="D18" i="53"/>
  <c r="I17" i="53"/>
  <c r="G17" i="53"/>
  <c r="D17" i="53"/>
  <c r="E17" i="53" s="1"/>
  <c r="B17" i="53"/>
  <c r="C17" i="53" s="1"/>
  <c r="I16" i="53"/>
  <c r="G16" i="53"/>
  <c r="I15" i="53"/>
  <c r="I12" i="53"/>
  <c r="G12" i="53"/>
  <c r="C5" i="53" l="1"/>
  <c r="E25" i="53"/>
  <c r="I5" i="53"/>
  <c r="E24" i="47" l="1"/>
  <c r="D24" i="47"/>
  <c r="E8" i="47"/>
  <c r="D8" i="47"/>
  <c r="E5" i="47"/>
  <c r="D5" i="47"/>
  <c r="E4" i="47"/>
  <c r="D4" i="47"/>
  <c r="C28" i="47"/>
  <c r="C25" i="47"/>
  <c r="F25" i="47" s="1"/>
  <c r="C24" i="47"/>
  <c r="F24" i="47" s="1"/>
  <c r="C16" i="47"/>
  <c r="C15" i="47"/>
  <c r="C4" i="47"/>
  <c r="F4" i="47" s="1"/>
  <c r="E33" i="47" l="1"/>
  <c r="D33" i="47"/>
  <c r="D34" i="47"/>
  <c r="E34" i="47"/>
  <c r="G56" i="24"/>
  <c r="G55" i="24"/>
  <c r="G54" i="24"/>
  <c r="G53" i="24"/>
  <c r="G51" i="24"/>
  <c r="B20" i="24" l="1"/>
  <c r="B21" i="24" l="1"/>
  <c r="B55" i="24"/>
  <c r="B54" i="24"/>
  <c r="B52" i="24"/>
  <c r="D64" i="24"/>
  <c r="D65" i="24" s="1"/>
  <c r="D66" i="24" s="1"/>
  <c r="B59" i="24" l="1"/>
  <c r="A59" i="24"/>
  <c r="A60" i="24" s="1"/>
  <c r="F27" i="24" l="1"/>
  <c r="F28" i="24" s="1"/>
  <c r="F29" i="24" s="1"/>
  <c r="B40" i="24" l="1"/>
  <c r="B44" i="24" l="1"/>
  <c r="H10" i="24" l="1"/>
  <c r="H9" i="24"/>
  <c r="J3" i="24"/>
  <c r="I3" i="24"/>
  <c r="B6" i="24"/>
  <c r="B23" i="24"/>
  <c r="E3" i="24" l="1"/>
  <c r="D3" i="24"/>
  <c r="B9" i="24"/>
  <c r="C6" i="53" l="1"/>
  <c r="C10" i="53"/>
  <c r="G14" i="53"/>
  <c r="G6" i="53"/>
  <c r="E10" i="53"/>
  <c r="C9" i="47"/>
  <c r="F9" i="47" s="1"/>
  <c r="C5" i="47"/>
  <c r="F5" i="47" s="1"/>
  <c r="B53" i="24"/>
  <c r="B16" i="53"/>
  <c r="C16" i="53" s="1"/>
  <c r="G11" i="53"/>
  <c r="C9" i="53"/>
  <c r="G13" i="53"/>
  <c r="C8" i="47"/>
  <c r="F8" i="47" s="1"/>
  <c r="D16" i="53"/>
  <c r="E16" i="53" s="1"/>
  <c r="I11" i="53"/>
  <c r="I9" i="53"/>
  <c r="H3" i="24"/>
  <c r="B12" i="24"/>
  <c r="B13" i="24" s="1"/>
  <c r="I10" i="53" l="1"/>
  <c r="C18" i="53"/>
  <c r="E18" i="53" s="1"/>
  <c r="C17" i="47"/>
  <c r="C34" i="47" s="1"/>
  <c r="G18" i="53"/>
  <c r="I18" i="53" s="1"/>
  <c r="E9" i="53"/>
  <c r="E5" i="53"/>
  <c r="I6" i="53"/>
  <c r="E6" i="53"/>
  <c r="C36" i="53"/>
  <c r="B41" i="53" s="1"/>
  <c r="I4" i="24"/>
  <c r="J4" i="24"/>
  <c r="H4" i="24"/>
  <c r="C33" i="47" l="1"/>
  <c r="F33" i="47" s="1"/>
  <c r="G36" i="53"/>
  <c r="C35" i="53"/>
  <c r="B40" i="53" s="1"/>
  <c r="B49" i="53" s="1"/>
  <c r="D49" i="53" s="1"/>
  <c r="F34" i="47"/>
  <c r="B50" i="53"/>
  <c r="G35" i="53"/>
  <c r="I35" i="53"/>
  <c r="I36" i="53"/>
  <c r="E36" i="53"/>
  <c r="C41" i="53" s="1"/>
  <c r="C50" i="53" s="1"/>
  <c r="E35" i="53"/>
  <c r="C40" i="53" s="1"/>
  <c r="C49" i="53" s="1"/>
  <c r="D40" i="53" l="1"/>
  <c r="D41" i="53"/>
  <c r="D50" i="53"/>
</calcChain>
</file>

<file path=xl/comments1.xml><?xml version="1.0" encoding="utf-8"?>
<comments xmlns="http://schemas.openxmlformats.org/spreadsheetml/2006/main">
  <authors>
    <author>Jen</author>
  </authors>
  <commentList>
    <comment ref="E5" authorId="0">
      <text>
        <r>
          <rPr>
            <b/>
            <sz val="9"/>
            <color indexed="81"/>
            <rFont val="Tahoma"/>
            <family val="2"/>
          </rPr>
          <t>Jen:</t>
        </r>
        <r>
          <rPr>
            <sz val="9"/>
            <color indexed="81"/>
            <rFont val="Tahoma"/>
            <family val="2"/>
          </rPr>
          <t xml:space="preserve">
Added in Y1 additions to base salaries (compounding)</t>
        </r>
      </text>
    </comment>
    <comment ref="I5" authorId="0">
      <text>
        <r>
          <rPr>
            <b/>
            <sz val="9"/>
            <color indexed="81"/>
            <rFont val="Tahoma"/>
            <family val="2"/>
          </rPr>
          <t>Jen:</t>
        </r>
        <r>
          <rPr>
            <sz val="9"/>
            <color indexed="81"/>
            <rFont val="Tahoma"/>
            <family val="2"/>
          </rPr>
          <t xml:space="preserve">
Added in Y1 additions to base salaries (compounding)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Jen:</t>
        </r>
        <r>
          <rPr>
            <sz val="9"/>
            <color indexed="81"/>
            <rFont val="Tahoma"/>
            <family val="2"/>
          </rPr>
          <t xml:space="preserve">
Reflects Y1 adjustments and Y2 eligibility</t>
        </r>
      </text>
    </comment>
    <comment ref="I9" authorId="0">
      <text>
        <r>
          <rPr>
            <b/>
            <sz val="9"/>
            <color indexed="81"/>
            <rFont val="Tahoma"/>
            <family val="2"/>
          </rPr>
          <t>Jen:</t>
        </r>
        <r>
          <rPr>
            <sz val="9"/>
            <color indexed="81"/>
            <rFont val="Tahoma"/>
            <family val="2"/>
          </rPr>
          <t xml:space="preserve">
Reflects Y1 adjustments and Y2 eligibility</t>
        </r>
      </text>
    </comment>
  </commentList>
</comments>
</file>

<file path=xl/comments2.xml><?xml version="1.0" encoding="utf-8"?>
<comments xmlns="http://schemas.openxmlformats.org/spreadsheetml/2006/main">
  <authors>
    <author>Jim Salt</author>
    <author>Jennifer Steele</author>
    <author>Jen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Jim Salt:</t>
        </r>
        <r>
          <rPr>
            <sz val="9"/>
            <color indexed="81"/>
            <rFont val="Tahoma"/>
            <family val="2"/>
          </rPr>
          <t xml:space="preserve">
Base salaries plus Stipend
</t>
        </r>
      </text>
    </comment>
    <comment ref="D3" authorId="1">
      <text>
        <r>
          <rPr>
            <b/>
            <sz val="9"/>
            <color indexed="81"/>
            <rFont val="Tahoma"/>
            <family val="2"/>
          </rPr>
          <t>Jennifer Steele:</t>
        </r>
        <r>
          <rPr>
            <sz val="9"/>
            <color indexed="81"/>
            <rFont val="Tahoma"/>
            <family val="2"/>
          </rPr>
          <t xml:space="preserve">
Updated to % salary eligible instead of % employees eligible</t>
        </r>
      </text>
    </comment>
    <comment ref="E3" authorId="1">
      <text>
        <r>
          <rPr>
            <b/>
            <sz val="9"/>
            <color indexed="81"/>
            <rFont val="Tahoma"/>
            <family val="2"/>
          </rPr>
          <t>Jennifer Steele:</t>
        </r>
        <r>
          <rPr>
            <sz val="9"/>
            <color indexed="81"/>
            <rFont val="Tahoma"/>
            <family val="2"/>
          </rPr>
          <t xml:space="preserve">
Y2 eligibility increases due to vacancies being filled in Y1</t>
        </r>
      </text>
    </comment>
    <comment ref="D4" authorId="2">
      <text>
        <r>
          <rPr>
            <b/>
            <sz val="9"/>
            <color indexed="81"/>
            <rFont val="Tahoma"/>
            <family val="2"/>
          </rPr>
          <t>Jen:</t>
        </r>
        <r>
          <rPr>
            <sz val="9"/>
            <color indexed="81"/>
            <rFont val="Tahoma"/>
            <family val="2"/>
          </rPr>
          <t xml:space="preserve">
Updated to % salary eligible instead of % employees eligible</t>
        </r>
      </text>
    </comment>
    <comment ref="B9" authorId="2">
      <text>
        <r>
          <rPr>
            <b/>
            <sz val="9"/>
            <color indexed="81"/>
            <rFont val="Tahoma"/>
            <family val="2"/>
          </rPr>
          <t>Jen:</t>
        </r>
        <r>
          <rPr>
            <sz val="9"/>
            <color indexed="81"/>
            <rFont val="Tahoma"/>
            <family val="2"/>
          </rPr>
          <t xml:space="preserve">
Added $110,294 non-recurring from prior year</t>
        </r>
      </text>
    </comment>
  </commentList>
</comments>
</file>

<file path=xl/sharedStrings.xml><?xml version="1.0" encoding="utf-8"?>
<sst xmlns="http://schemas.openxmlformats.org/spreadsheetml/2006/main" count="198" uniqueCount="118">
  <si>
    <t>LCCEA</t>
  </si>
  <si>
    <t>Total</t>
  </si>
  <si>
    <t>Factor</t>
  </si>
  <si>
    <t>$ Amount</t>
  </si>
  <si>
    <t>Classified</t>
  </si>
  <si>
    <t>Insurance PT Faculty</t>
  </si>
  <si>
    <t>Total with OPE</t>
  </si>
  <si>
    <t>Top Step Stipend (percentage)</t>
  </si>
  <si>
    <t>Managers</t>
  </si>
  <si>
    <t>w/OPE</t>
  </si>
  <si>
    <t>Summary</t>
  </si>
  <si>
    <t>PT Insurance 400+ Classified</t>
  </si>
  <si>
    <t xml:space="preserve">Early Retirement Incent. (E+1, @ 58, 7 yrs) </t>
  </si>
  <si>
    <t xml:space="preserve">Section 125 </t>
  </si>
  <si>
    <t>College</t>
  </si>
  <si>
    <t>Insurance FT Faculty/Class/Manag</t>
  </si>
  <si>
    <t>FSA (125)</t>
  </si>
  <si>
    <t>Values</t>
  </si>
  <si>
    <t>E</t>
  </si>
  <si>
    <t>E+1</t>
  </si>
  <si>
    <t>Fam</t>
  </si>
  <si>
    <t>Health Savings Account</t>
  </si>
  <si>
    <t>EAP access for hourly classified</t>
  </si>
  <si>
    <t>Vacation Sell</t>
  </si>
  <si>
    <t>Current</t>
  </si>
  <si>
    <t>Retirement liability</t>
  </si>
  <si>
    <t>Management</t>
  </si>
  <si>
    <t>Year 1</t>
  </si>
  <si>
    <t>Year 2</t>
  </si>
  <si>
    <t>Full Time</t>
  </si>
  <si>
    <t>Faculty</t>
  </si>
  <si>
    <t>Part Time</t>
  </si>
  <si>
    <t xml:space="preserve">Classified </t>
  </si>
  <si>
    <t>Base Salary*</t>
  </si>
  <si>
    <t>* Updated 6.24.13 to reflect current position list and Adopted FY14 budget</t>
  </si>
  <si>
    <t>Full Step Rate</t>
  </si>
  <si>
    <t>FT COLA</t>
  </si>
  <si>
    <t>PT COLA</t>
  </si>
  <si>
    <t>FT Step</t>
  </si>
  <si>
    <t>PT Step</t>
  </si>
  <si>
    <t>PT Top Step (faculty only)</t>
  </si>
  <si>
    <t>Total All Groups</t>
  </si>
  <si>
    <t>Biennium</t>
  </si>
  <si>
    <t>Y1 Step Eligibility**</t>
  </si>
  <si>
    <t>Y2 Step Eligibility**</t>
  </si>
  <si>
    <t>** Based upon percent salary eligible for step increase by position and group.</t>
  </si>
  <si>
    <t>Health Savings Acct</t>
  </si>
  <si>
    <t>Insurance 1% cost</t>
  </si>
  <si>
    <t>Part time Faculty</t>
  </si>
  <si>
    <t>EAP access</t>
  </si>
  <si>
    <t>Bargaining Parameter</t>
  </si>
  <si>
    <t>faculty portion</t>
  </si>
  <si>
    <t>classified</t>
  </si>
  <si>
    <t>managers</t>
  </si>
  <si>
    <t>Total salaries</t>
  </si>
  <si>
    <t>Percent of Salaries</t>
  </si>
  <si>
    <t>Total Full Time</t>
  </si>
  <si>
    <t>Total Part Time</t>
  </si>
  <si>
    <t>Total Salaries</t>
  </si>
  <si>
    <t>Head count</t>
  </si>
  <si>
    <t>Funds I &amp; IX</t>
  </si>
  <si>
    <t>contracted salaries all funds except grants</t>
  </si>
  <si>
    <t>Faculty PT</t>
  </si>
  <si>
    <t>Hourly classified</t>
  </si>
  <si>
    <t>Health Insurance stipend</t>
  </si>
  <si>
    <t>Full time OPE*</t>
  </si>
  <si>
    <t>Part time OPE*</t>
  </si>
  <si>
    <t>*Built into budget</t>
  </si>
  <si>
    <t>Average classified wage</t>
  </si>
  <si>
    <t>Stipend</t>
  </si>
  <si>
    <t>Stipend PT Faculty</t>
  </si>
  <si>
    <t>Noncontract days</t>
  </si>
  <si>
    <t>Value of one day</t>
  </si>
  <si>
    <t>Part time faculty</t>
  </si>
  <si>
    <t>Faculty Step 13.5</t>
  </si>
  <si>
    <t>Top Step Lump Sum</t>
  </si>
  <si>
    <t>PT top step lump sum</t>
  </si>
  <si>
    <t>LCCEA
October 15, 2013
Proposal
Year 1</t>
  </si>
  <si>
    <t>LCCEA
October 15, 2013
Proposal
Year 2</t>
  </si>
  <si>
    <t xml:space="preserve">Consumer Price Index- U </t>
  </si>
  <si>
    <t>NSA</t>
  </si>
  <si>
    <t>All Items</t>
  </si>
  <si>
    <t>Average Jan-Sept 2013 Yearly</t>
  </si>
  <si>
    <t>Plan A</t>
  </si>
  <si>
    <t>Plan B</t>
  </si>
  <si>
    <t>Plan C</t>
  </si>
  <si>
    <t>Plan E</t>
  </si>
  <si>
    <t>Plan G</t>
  </si>
  <si>
    <t>Salary schedule add 1/2 step - PT</t>
  </si>
  <si>
    <t>Salary schedule add 1/2 step - FT</t>
  </si>
  <si>
    <t>Salary schedule 34 hour week - PT</t>
  </si>
  <si>
    <t>FT COLA Restoration</t>
  </si>
  <si>
    <t>PT COLA Restoration</t>
  </si>
  <si>
    <t>OPSRP sick leave payout</t>
  </si>
  <si>
    <t>Curriculum development rate Inc</t>
  </si>
  <si>
    <t>LCCEA
October 31, 2013
Proposal
Year 1</t>
  </si>
  <si>
    <t>LCCEA
October 31, 2013
Proposal
Year 2</t>
  </si>
  <si>
    <t>FT faculty sick leave payout (1-month)</t>
  </si>
  <si>
    <t>pt faculty sick leave payout (1-month)</t>
  </si>
  <si>
    <t>?</t>
  </si>
  <si>
    <t>FIXED</t>
  </si>
  <si>
    <t>Section 125 LCCEA Proposal 10/15/13:</t>
  </si>
  <si>
    <t>Annual contribution</t>
  </si>
  <si>
    <t>Plan selection</t>
  </si>
  <si>
    <t>Opt out</t>
  </si>
  <si>
    <t>College Proposal (1.75%/1%) 10/31/13</t>
  </si>
  <si>
    <t>Mgrs</t>
  </si>
  <si>
    <t>PT family insurance increase</t>
  </si>
  <si>
    <t>67%/84%</t>
  </si>
  <si>
    <t>Their error, neglected to reduce to .5</t>
  </si>
  <si>
    <t>Need actual usuage to project actual cost</t>
  </si>
  <si>
    <t>Note</t>
  </si>
  <si>
    <t>After factoring in actual 'Step Downs'</t>
  </si>
  <si>
    <t>Their error, neglected to reduce to .5; change from FY13 salary and stipend</t>
  </si>
  <si>
    <t>Assumes 1/20 usuage</t>
  </si>
  <si>
    <t>Total with Direct OPE</t>
  </si>
  <si>
    <t>Barg Allow</t>
  </si>
  <si>
    <t>Bargaining Allowance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</si>
</sst>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  <numFmt numFmtId="168" formatCode="0.0000"/>
    <numFmt numFmtId="169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2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9" fontId="11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/>
    <xf numFmtId="10" fontId="0" fillId="0" borderId="0" xfId="0" applyNumberForma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5" fillId="0" borderId="0" xfId="3" applyNumberFormat="1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7" xfId="0" quotePrefix="1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164" fontId="6" fillId="0" borderId="0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 vertical="top"/>
    </xf>
    <xf numFmtId="166" fontId="5" fillId="0" borderId="1" xfId="3" applyNumberFormat="1" applyFont="1" applyFill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4" fontId="6" fillId="0" borderId="0" xfId="0" applyNumberFormat="1" applyFont="1" applyBorder="1" applyAlignment="1">
      <alignment horizontal="center" vertical="top"/>
    </xf>
    <xf numFmtId="2" fontId="6" fillId="0" borderId="0" xfId="0" applyNumberFormat="1" applyFont="1" applyBorder="1" applyAlignment="1">
      <alignment horizontal="center" vertical="top"/>
    </xf>
    <xf numFmtId="168" fontId="5" fillId="0" borderId="1" xfId="0" applyNumberFormat="1" applyFont="1" applyBorder="1" applyAlignment="1">
      <alignment horizontal="center" vertical="top"/>
    </xf>
    <xf numFmtId="166" fontId="5" fillId="0" borderId="2" xfId="3" applyNumberFormat="1" applyFont="1" applyBorder="1" applyAlignment="1">
      <alignment vertical="top"/>
    </xf>
    <xf numFmtId="166" fontId="5" fillId="0" borderId="2" xfId="3" applyNumberFormat="1" applyFont="1" applyFill="1" applyBorder="1" applyAlignment="1">
      <alignment vertical="top"/>
    </xf>
    <xf numFmtId="166" fontId="6" fillId="0" borderId="2" xfId="3" applyNumberFormat="1" applyFont="1" applyBorder="1" applyAlignment="1">
      <alignment vertical="top"/>
    </xf>
    <xf numFmtId="166" fontId="6" fillId="0" borderId="4" xfId="3" applyNumberFormat="1" applyFont="1" applyBorder="1" applyAlignment="1">
      <alignment vertical="top"/>
    </xf>
    <xf numFmtId="14" fontId="9" fillId="2" borderId="8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indent="2"/>
    </xf>
    <xf numFmtId="0" fontId="6" fillId="0" borderId="7" xfId="0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  <xf numFmtId="1" fontId="5" fillId="0" borderId="1" xfId="0" applyNumberFormat="1" applyFont="1" applyFill="1" applyBorder="1" applyAlignment="1">
      <alignment horizontal="center" vertical="top"/>
    </xf>
    <xf numFmtId="166" fontId="6" fillId="0" borderId="0" xfId="3" applyNumberFormat="1" applyFont="1" applyAlignment="1">
      <alignment vertical="top"/>
    </xf>
    <xf numFmtId="166" fontId="5" fillId="0" borderId="0" xfId="3" applyNumberFormat="1" applyFont="1" applyAlignment="1">
      <alignment horizontal="center" vertical="top"/>
    </xf>
    <xf numFmtId="166" fontId="6" fillId="0" borderId="0" xfId="3" applyNumberFormat="1" applyFont="1" applyBorder="1" applyAlignment="1">
      <alignment horizontal="center" vertical="top"/>
    </xf>
    <xf numFmtId="166" fontId="5" fillId="0" borderId="0" xfId="3" applyNumberFormat="1" applyFont="1" applyBorder="1" applyAlignment="1">
      <alignment vertical="top"/>
    </xf>
    <xf numFmtId="0" fontId="5" fillId="0" borderId="12" xfId="0" applyFont="1" applyBorder="1" applyAlignment="1">
      <alignment vertical="top"/>
    </xf>
    <xf numFmtId="166" fontId="6" fillId="0" borderId="5" xfId="3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2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indent="1"/>
    </xf>
    <xf numFmtId="166" fontId="0" fillId="0" borderId="0" xfId="3" applyNumberFormat="1" applyFont="1" applyAlignment="1">
      <alignment vertical="top"/>
    </xf>
    <xf numFmtId="10" fontId="0" fillId="0" borderId="0" xfId="2" applyNumberFormat="1" applyFont="1" applyAlignment="1">
      <alignment horizontal="center" vertical="top"/>
    </xf>
    <xf numFmtId="167" fontId="0" fillId="0" borderId="0" xfId="2" applyNumberFormat="1" applyFont="1" applyAlignment="1">
      <alignment horizontal="center" vertical="top"/>
    </xf>
    <xf numFmtId="0" fontId="0" fillId="0" borderId="0" xfId="0" applyFont="1" applyAlignment="1">
      <alignment horizontal="right" vertical="center"/>
    </xf>
    <xf numFmtId="165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vertical="center"/>
    </xf>
    <xf numFmtId="0" fontId="0" fillId="0" borderId="0" xfId="0" quotePrefix="1" applyFont="1" applyAlignment="1">
      <alignment vertical="top"/>
    </xf>
    <xf numFmtId="0" fontId="0" fillId="0" borderId="0" xfId="0" applyFont="1" applyAlignment="1">
      <alignment horizontal="right" vertical="top"/>
    </xf>
    <xf numFmtId="165" fontId="0" fillId="0" borderId="0" xfId="0" applyNumberFormat="1" applyFont="1" applyAlignment="1">
      <alignment vertical="top"/>
    </xf>
    <xf numFmtId="165" fontId="0" fillId="0" borderId="0" xfId="1" applyNumberFormat="1" applyFont="1" applyAlignment="1">
      <alignment vertical="top"/>
    </xf>
    <xf numFmtId="9" fontId="0" fillId="0" borderId="0" xfId="2" applyFont="1" applyAlignment="1">
      <alignment vertical="top"/>
    </xf>
    <xf numFmtId="166" fontId="0" fillId="0" borderId="10" xfId="3" applyNumberFormat="1" applyFont="1" applyBorder="1" applyAlignment="1">
      <alignment vertical="top"/>
    </xf>
    <xf numFmtId="165" fontId="0" fillId="0" borderId="0" xfId="1" applyNumberFormat="1" applyFont="1" applyFill="1" applyAlignment="1">
      <alignment vertical="top"/>
    </xf>
    <xf numFmtId="165" fontId="0" fillId="0" borderId="12" xfId="1" applyNumberFormat="1" applyFont="1" applyBorder="1" applyAlignment="1">
      <alignment vertical="top"/>
    </xf>
    <xf numFmtId="0" fontId="0" fillId="0" borderId="0" xfId="0" applyFont="1" applyAlignment="1">
      <alignment vertical="top" wrapText="1"/>
    </xf>
    <xf numFmtId="9" fontId="0" fillId="0" borderId="0" xfId="0" applyNumberFormat="1" applyFont="1" applyAlignment="1">
      <alignment vertical="top"/>
    </xf>
    <xf numFmtId="166" fontId="0" fillId="0" borderId="0" xfId="0" applyNumberFormat="1" applyFont="1" applyAlignment="1">
      <alignment horizontal="center" vertical="top"/>
    </xf>
    <xf numFmtId="1" fontId="0" fillId="0" borderId="0" xfId="0" applyNumberFormat="1" applyFont="1" applyAlignment="1">
      <alignment vertical="top"/>
    </xf>
    <xf numFmtId="44" fontId="0" fillId="0" borderId="0" xfId="1" applyFont="1" applyAlignment="1">
      <alignment vertical="top"/>
    </xf>
    <xf numFmtId="44" fontId="0" fillId="0" borderId="0" xfId="0" applyNumberFormat="1" applyFont="1" applyAlignment="1">
      <alignment horizontal="center" vertical="top"/>
    </xf>
    <xf numFmtId="165" fontId="0" fillId="0" borderId="0" xfId="1" applyNumberFormat="1" applyFont="1" applyAlignment="1">
      <alignment horizontal="center" vertical="top"/>
    </xf>
    <xf numFmtId="167" fontId="0" fillId="0" borderId="0" xfId="0" applyNumberFormat="1" applyFont="1" applyAlignment="1">
      <alignment vertical="top"/>
    </xf>
    <xf numFmtId="166" fontId="6" fillId="3" borderId="0" xfId="3" applyNumberFormat="1" applyFont="1" applyFill="1" applyAlignment="1">
      <alignment horizontal="center" vertical="top"/>
    </xf>
    <xf numFmtId="166" fontId="5" fillId="3" borderId="0" xfId="3" applyNumberFormat="1" applyFont="1" applyFill="1" applyAlignment="1">
      <alignment horizontal="center" vertical="top"/>
    </xf>
    <xf numFmtId="166" fontId="5" fillId="3" borderId="0" xfId="3" applyNumberFormat="1" applyFont="1" applyFill="1" applyAlignment="1">
      <alignment vertical="top"/>
    </xf>
    <xf numFmtId="166" fontId="5" fillId="3" borderId="0" xfId="3" applyNumberFormat="1" applyFont="1" applyFill="1" applyBorder="1" applyAlignment="1">
      <alignment horizontal="center" vertical="top"/>
    </xf>
    <xf numFmtId="166" fontId="6" fillId="3" borderId="12" xfId="3" applyNumberFormat="1" applyFont="1" applyFill="1" applyBorder="1" applyAlignment="1">
      <alignment horizontal="center" vertical="top"/>
    </xf>
    <xf numFmtId="166" fontId="6" fillId="3" borderId="11" xfId="3" applyNumberFormat="1" applyFont="1" applyFill="1" applyBorder="1" applyAlignment="1">
      <alignment horizontal="center" vertical="top"/>
    </xf>
    <xf numFmtId="166" fontId="5" fillId="0" borderId="0" xfId="3" applyNumberFormat="1" applyFont="1" applyAlignment="1">
      <alignment horizontal="left" vertical="top"/>
    </xf>
    <xf numFmtId="166" fontId="5" fillId="3" borderId="2" xfId="3" applyNumberFormat="1" applyFont="1" applyFill="1" applyBorder="1" applyAlignment="1">
      <alignment vertical="top"/>
    </xf>
    <xf numFmtId="2" fontId="5" fillId="3" borderId="1" xfId="0" applyNumberFormat="1" applyFont="1" applyFill="1" applyBorder="1" applyAlignment="1">
      <alignment horizontal="center" vertical="top"/>
    </xf>
    <xf numFmtId="1" fontId="5" fillId="3" borderId="1" xfId="0" applyNumberFormat="1" applyFont="1" applyFill="1" applyBorder="1" applyAlignment="1">
      <alignment horizontal="center" vertical="top"/>
    </xf>
    <xf numFmtId="44" fontId="0" fillId="0" borderId="0" xfId="0" applyNumberFormat="1" applyFont="1" applyAlignment="1">
      <alignment vertical="top"/>
    </xf>
    <xf numFmtId="0" fontId="5" fillId="4" borderId="0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right" vertical="top"/>
    </xf>
    <xf numFmtId="0" fontId="5" fillId="5" borderId="0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right" vertical="top"/>
    </xf>
    <xf numFmtId="168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166" fontId="6" fillId="0" borderId="0" xfId="3" applyNumberFormat="1" applyFont="1" applyFill="1" applyBorder="1" applyAlignment="1">
      <alignment horizontal="center" vertical="top"/>
    </xf>
    <xf numFmtId="166" fontId="6" fillId="0" borderId="2" xfId="3" applyNumberFormat="1" applyFont="1" applyFill="1" applyBorder="1" applyAlignment="1">
      <alignment vertical="top"/>
    </xf>
    <xf numFmtId="166" fontId="6" fillId="0" borderId="5" xfId="3" applyNumberFormat="1" applyFont="1" applyFill="1" applyBorder="1" applyAlignment="1">
      <alignment horizontal="center" vertical="top"/>
    </xf>
    <xf numFmtId="166" fontId="6" fillId="0" borderId="4" xfId="3" applyNumberFormat="1" applyFont="1" applyFill="1" applyBorder="1" applyAlignment="1">
      <alignment vertical="top"/>
    </xf>
    <xf numFmtId="169" fontId="5" fillId="0" borderId="1" xfId="0" applyNumberFormat="1" applyFont="1" applyFill="1" applyBorder="1" applyAlignment="1">
      <alignment horizontal="center" vertical="top"/>
    </xf>
    <xf numFmtId="166" fontId="6" fillId="0" borderId="0" xfId="3" applyNumberFormat="1" applyFont="1" applyFill="1" applyAlignment="1">
      <alignment horizontal="center" vertical="top"/>
    </xf>
    <xf numFmtId="166" fontId="5" fillId="0" borderId="0" xfId="3" applyNumberFormat="1" applyFont="1" applyFill="1" applyAlignment="1">
      <alignment horizontal="center" vertical="top"/>
    </xf>
    <xf numFmtId="166" fontId="5" fillId="0" borderId="0" xfId="3" applyNumberFormat="1" applyFont="1" applyFill="1" applyAlignment="1">
      <alignment vertical="top"/>
    </xf>
    <xf numFmtId="166" fontId="5" fillId="0" borderId="0" xfId="3" applyNumberFormat="1" applyFont="1" applyFill="1" applyBorder="1" applyAlignment="1">
      <alignment horizontal="center" vertical="top"/>
    </xf>
    <xf numFmtId="166" fontId="6" fillId="0" borderId="12" xfId="3" applyNumberFormat="1" applyFont="1" applyFill="1" applyBorder="1" applyAlignment="1">
      <alignment horizontal="center" vertical="top"/>
    </xf>
    <xf numFmtId="166" fontId="6" fillId="0" borderId="11" xfId="3" applyNumberFormat="1" applyFont="1" applyFill="1" applyBorder="1" applyAlignment="1">
      <alignment horizontal="center" vertical="top"/>
    </xf>
    <xf numFmtId="0" fontId="5" fillId="6" borderId="7" xfId="0" applyFont="1" applyFill="1" applyBorder="1" applyAlignment="1">
      <alignment vertical="top"/>
    </xf>
    <xf numFmtId="1" fontId="5" fillId="6" borderId="1" xfId="0" applyNumberFormat="1" applyFont="1" applyFill="1" applyBorder="1" applyAlignment="1">
      <alignment horizontal="center" vertical="top"/>
    </xf>
    <xf numFmtId="166" fontId="5" fillId="6" borderId="2" xfId="3" applyNumberFormat="1" applyFont="1" applyFill="1" applyBorder="1" applyAlignment="1">
      <alignment vertical="top"/>
    </xf>
    <xf numFmtId="2" fontId="5" fillId="6" borderId="1" xfId="0" applyNumberFormat="1" applyFont="1" applyFill="1" applyBorder="1" applyAlignment="1">
      <alignment horizontal="center" vertical="top"/>
    </xf>
    <xf numFmtId="0" fontId="5" fillId="6" borderId="0" xfId="0" applyFont="1" applyFill="1" applyAlignment="1">
      <alignment vertical="top"/>
    </xf>
    <xf numFmtId="168" fontId="5" fillId="6" borderId="1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6" fillId="0" borderId="0" xfId="0" applyFont="1" applyFill="1" applyAlignment="1">
      <alignment vertical="top"/>
    </xf>
    <xf numFmtId="0" fontId="5" fillId="0" borderId="0" xfId="0" applyFont="1" applyAlignment="1">
      <alignment horizontal="left" vertical="top"/>
    </xf>
    <xf numFmtId="44" fontId="0" fillId="0" borderId="0" xfId="1" applyFont="1"/>
    <xf numFmtId="0" fontId="0" fillId="7" borderId="0" xfId="0" applyFill="1"/>
    <xf numFmtId="44" fontId="0" fillId="7" borderId="0" xfId="1" applyFont="1" applyFill="1"/>
    <xf numFmtId="9" fontId="0" fillId="7" borderId="0" xfId="2" applyFont="1" applyFill="1" applyAlignment="1">
      <alignment vertical="top"/>
    </xf>
    <xf numFmtId="165" fontId="0" fillId="7" borderId="0" xfId="1" applyNumberFormat="1" applyFont="1" applyFill="1" applyAlignment="1">
      <alignment vertical="top"/>
    </xf>
    <xf numFmtId="166" fontId="5" fillId="0" borderId="0" xfId="3" applyNumberFormat="1" applyFont="1" applyFill="1" applyBorder="1" applyAlignment="1">
      <alignment vertical="top"/>
    </xf>
    <xf numFmtId="0" fontId="12" fillId="0" borderId="7" xfId="0" applyFont="1" applyBorder="1" applyAlignment="1">
      <alignment vertical="top"/>
    </xf>
    <xf numFmtId="166" fontId="12" fillId="3" borderId="2" xfId="3" applyNumberFormat="1" applyFont="1" applyFill="1" applyBorder="1" applyAlignment="1">
      <alignment vertical="top"/>
    </xf>
    <xf numFmtId="2" fontId="16" fillId="3" borderId="1" xfId="0" applyNumberFormat="1" applyFont="1" applyFill="1" applyBorder="1" applyAlignment="1">
      <alignment horizontal="center" vertical="top"/>
    </xf>
    <xf numFmtId="166" fontId="16" fillId="3" borderId="2" xfId="3" applyNumberFormat="1" applyFont="1" applyFill="1" applyBorder="1" applyAlignment="1">
      <alignment vertical="top"/>
    </xf>
    <xf numFmtId="166" fontId="6" fillId="3" borderId="2" xfId="3" applyNumberFormat="1" applyFont="1" applyFill="1" applyBorder="1" applyAlignment="1">
      <alignment vertical="top"/>
    </xf>
    <xf numFmtId="0" fontId="6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top" indent="2"/>
    </xf>
    <xf numFmtId="0" fontId="19" fillId="0" borderId="0" xfId="0" applyFont="1" applyFill="1" applyAlignment="1">
      <alignment vertical="top"/>
    </xf>
    <xf numFmtId="0" fontId="19" fillId="4" borderId="2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vertical="top"/>
    </xf>
    <xf numFmtId="0" fontId="5" fillId="0" borderId="7" xfId="0" quotePrefix="1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/>
    </xf>
    <xf numFmtId="0" fontId="5" fillId="8" borderId="0" xfId="0" applyFont="1" applyFill="1" applyAlignment="1">
      <alignment vertical="top"/>
    </xf>
    <xf numFmtId="0" fontId="0" fillId="8" borderId="7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top"/>
    </xf>
    <xf numFmtId="0" fontId="18" fillId="8" borderId="2" xfId="0" applyFont="1" applyFill="1" applyBorder="1" applyAlignment="1">
      <alignment horizontal="center" vertical="top"/>
    </xf>
    <xf numFmtId="0" fontId="18" fillId="8" borderId="0" xfId="0" applyFont="1" applyFill="1" applyBorder="1" applyAlignment="1">
      <alignment horizontal="center" vertical="top"/>
    </xf>
    <xf numFmtId="166" fontId="5" fillId="0" borderId="1" xfId="3" applyNumberFormat="1" applyFont="1" applyFill="1" applyBorder="1" applyAlignment="1">
      <alignment vertical="top"/>
    </xf>
    <xf numFmtId="166" fontId="5" fillId="0" borderId="16" xfId="3" applyNumberFormat="1" applyFont="1" applyFill="1" applyBorder="1" applyAlignment="1">
      <alignment vertical="top"/>
    </xf>
    <xf numFmtId="166" fontId="5" fillId="0" borderId="5" xfId="3" applyNumberFormat="1" applyFont="1" applyFill="1" applyBorder="1" applyAlignment="1">
      <alignment vertical="top"/>
    </xf>
    <xf numFmtId="166" fontId="6" fillId="0" borderId="8" xfId="3" applyNumberFormat="1" applyFont="1" applyBorder="1" applyAlignment="1">
      <alignment horizontal="center" vertical="center"/>
    </xf>
    <xf numFmtId="166" fontId="14" fillId="3" borderId="9" xfId="3" applyNumberFormat="1" applyFont="1" applyFill="1" applyBorder="1" applyAlignment="1">
      <alignment vertical="center"/>
    </xf>
    <xf numFmtId="166" fontId="14" fillId="3" borderId="3" xfId="3" applyNumberFormat="1" applyFont="1" applyFill="1" applyBorder="1" applyAlignment="1">
      <alignment vertical="center"/>
    </xf>
    <xf numFmtId="166" fontId="6" fillId="0" borderId="6" xfId="3" applyNumberFormat="1" applyFont="1" applyBorder="1" applyAlignment="1">
      <alignment horizontal="center" vertical="center"/>
    </xf>
    <xf numFmtId="166" fontId="15" fillId="8" borderId="5" xfId="3" applyNumberFormat="1" applyFont="1" applyFill="1" applyBorder="1" applyAlignment="1">
      <alignment vertical="center"/>
    </xf>
    <xf numFmtId="166" fontId="15" fillId="8" borderId="4" xfId="3" applyNumberFormat="1" applyFont="1" applyFill="1" applyBorder="1" applyAlignment="1">
      <alignment vertical="center"/>
    </xf>
    <xf numFmtId="166" fontId="21" fillId="8" borderId="6" xfId="3" applyNumberFormat="1" applyFont="1" applyFill="1" applyBorder="1" applyAlignment="1">
      <alignment vertical="center"/>
    </xf>
    <xf numFmtId="0" fontId="22" fillId="0" borderId="1" xfId="0" applyFont="1" applyBorder="1" applyAlignment="1">
      <alignment horizontal="right" vertical="center"/>
    </xf>
    <xf numFmtId="0" fontId="22" fillId="0" borderId="16" xfId="0" applyFont="1" applyBorder="1" applyAlignment="1">
      <alignment horizontal="right" vertical="center"/>
    </xf>
    <xf numFmtId="166" fontId="13" fillId="3" borderId="6" xfId="3" applyNumberFormat="1" applyFont="1" applyFill="1" applyBorder="1" applyAlignment="1">
      <alignment vertical="center"/>
    </xf>
    <xf numFmtId="166" fontId="16" fillId="0" borderId="7" xfId="3" applyNumberFormat="1" applyFont="1" applyFill="1" applyBorder="1" applyAlignment="1">
      <alignment vertical="top"/>
    </xf>
    <xf numFmtId="166" fontId="16" fillId="0" borderId="6" xfId="3" applyNumberFormat="1" applyFont="1" applyFill="1" applyBorder="1" applyAlignment="1">
      <alignment vertical="top"/>
    </xf>
    <xf numFmtId="168" fontId="23" fillId="0" borderId="1" xfId="0" applyNumberFormat="1" applyFont="1" applyFill="1" applyBorder="1" applyAlignment="1">
      <alignment horizontal="center" vertical="top"/>
    </xf>
    <xf numFmtId="2" fontId="23" fillId="0" borderId="1" xfId="0" applyNumberFormat="1" applyFont="1" applyFill="1" applyBorder="1" applyAlignment="1">
      <alignment horizontal="center" vertical="top"/>
    </xf>
    <xf numFmtId="169" fontId="23" fillId="0" borderId="1" xfId="0" applyNumberFormat="1" applyFont="1" applyFill="1" applyBorder="1" applyAlignment="1">
      <alignment horizontal="center" vertical="top"/>
    </xf>
    <xf numFmtId="1" fontId="23" fillId="0" borderId="1" xfId="0" applyNumberFormat="1" applyFont="1" applyFill="1" applyBorder="1" applyAlignment="1">
      <alignment horizontal="center" vertical="top"/>
    </xf>
    <xf numFmtId="166" fontId="23" fillId="0" borderId="1" xfId="3" applyNumberFormat="1" applyFont="1" applyFill="1" applyBorder="1" applyAlignment="1">
      <alignment horizontal="center" vertical="top"/>
    </xf>
    <xf numFmtId="2" fontId="9" fillId="0" borderId="1" xfId="0" applyNumberFormat="1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" fontId="9" fillId="0" borderId="1" xfId="0" applyNumberFormat="1" applyFont="1" applyFill="1" applyBorder="1" applyAlignment="1">
      <alignment horizontal="center" vertical="top"/>
    </xf>
    <xf numFmtId="166" fontId="17" fillId="0" borderId="1" xfId="3" applyNumberFormat="1" applyFont="1" applyFill="1" applyBorder="1" applyAlignment="1">
      <alignment vertical="top"/>
    </xf>
    <xf numFmtId="166" fontId="17" fillId="0" borderId="0" xfId="3" applyNumberFormat="1" applyFont="1" applyFill="1" applyBorder="1" applyAlignment="1">
      <alignment vertical="top"/>
    </xf>
    <xf numFmtId="0" fontId="6" fillId="8" borderId="1" xfId="0" applyFont="1" applyFill="1" applyBorder="1" applyAlignment="1">
      <alignment horizontal="center" vertical="top"/>
    </xf>
    <xf numFmtId="0" fontId="18" fillId="8" borderId="1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right" vertical="top" wrapText="1"/>
    </xf>
    <xf numFmtId="0" fontId="8" fillId="4" borderId="3" xfId="0" applyFont="1" applyFill="1" applyBorder="1" applyAlignment="1">
      <alignment horizontal="right" vertical="top"/>
    </xf>
    <xf numFmtId="0" fontId="8" fillId="5" borderId="9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/>
    </xf>
    <xf numFmtId="164" fontId="10" fillId="0" borderId="0" xfId="0" applyNumberFormat="1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right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164" fontId="10" fillId="3" borderId="0" xfId="0" applyNumberFormat="1" applyFont="1" applyFill="1" applyBorder="1" applyAlignment="1">
      <alignment horizontal="center" vertical="top"/>
    </xf>
    <xf numFmtId="0" fontId="20" fillId="4" borderId="1" xfId="0" applyFont="1" applyFill="1" applyBorder="1" applyAlignment="1">
      <alignment horizontal="center" vertical="top"/>
    </xf>
    <xf numFmtId="0" fontId="20" fillId="4" borderId="0" xfId="0" applyFont="1" applyFill="1" applyBorder="1" applyAlignment="1">
      <alignment horizontal="center" vertical="top"/>
    </xf>
    <xf numFmtId="0" fontId="20" fillId="4" borderId="2" xfId="0" applyFont="1" applyFill="1" applyBorder="1" applyAlignment="1">
      <alignment horizontal="center" vertical="top"/>
    </xf>
    <xf numFmtId="0" fontId="24" fillId="8" borderId="14" xfId="0" applyFont="1" applyFill="1" applyBorder="1" applyAlignment="1">
      <alignment horizontal="center" vertical="top" wrapText="1"/>
    </xf>
    <xf numFmtId="0" fontId="24" fillId="8" borderId="13" xfId="0" applyFont="1" applyFill="1" applyBorder="1" applyAlignment="1">
      <alignment horizontal="center" vertical="top" wrapText="1"/>
    </xf>
    <xf numFmtId="0" fontId="24" fillId="8" borderId="15" xfId="0" applyFont="1" applyFill="1" applyBorder="1" applyAlignment="1">
      <alignment horizontal="center" vertical="top" wrapText="1"/>
    </xf>
    <xf numFmtId="166" fontId="18" fillId="0" borderId="8" xfId="3" applyNumberFormat="1" applyFont="1" applyFill="1" applyBorder="1" applyAlignment="1">
      <alignment vertical="center"/>
    </xf>
    <xf numFmtId="166" fontId="18" fillId="0" borderId="7" xfId="3" applyNumberFormat="1" applyFont="1" applyFill="1" applyBorder="1" applyAlignment="1">
      <alignment vertical="center"/>
    </xf>
    <xf numFmtId="166" fontId="19" fillId="0" borderId="7" xfId="3" applyNumberFormat="1" applyFont="1" applyFill="1" applyBorder="1" applyAlignment="1">
      <alignment vertical="top"/>
    </xf>
    <xf numFmtId="167" fontId="25" fillId="0" borderId="0" xfId="2" applyNumberFormat="1" applyFont="1" applyAlignment="1">
      <alignment horizontal="center" vertical="top"/>
    </xf>
    <xf numFmtId="10" fontId="26" fillId="0" borderId="0" xfId="2" applyNumberFormat="1" applyFont="1" applyAlignment="1">
      <alignment horizontal="center" vertical="top"/>
    </xf>
  </cellXfs>
  <cellStyles count="7">
    <cellStyle name="Comma" xfId="3" builtinId="3"/>
    <cellStyle name="Currency" xfId="1" builtinId="4"/>
    <cellStyle name="Normal" xfId="0" builtinId="0"/>
    <cellStyle name="Normal 17" xfId="4"/>
    <cellStyle name="Normal 2" xfId="5"/>
    <cellStyle name="Percent" xfId="2" builtinId="5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m%20Salt/Google%20Drive/Bargaining%20-%202013-2015/Master%20File/2013-201x%20Bargaining%20Master%20-%20Cur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0513"/>
      <sheetName val="102413"/>
      <sheetName val="1024Ins"/>
      <sheetName val="061413"/>
      <sheetName val="052813"/>
      <sheetName val="InsProp1105"/>
      <sheetName val="InsProp1024$"/>
      <sheetName val="InsProp1024"/>
      <sheetName val="InsDist"/>
      <sheetName val="TmAgnda"/>
      <sheetName val="Agenda"/>
      <sheetName val="Work"/>
      <sheetName val="Info1"/>
      <sheetName val="Info2"/>
      <sheetName val="Info Requests"/>
      <sheetName val="Goals"/>
      <sheetName val="Options"/>
      <sheetName val="Bl"/>
      <sheetName val="InsProp-old"/>
      <sheetName val="CollCost"/>
      <sheetName val="CollCost (2)"/>
      <sheetName val="CollCost (3)"/>
      <sheetName val="CostCon"/>
      <sheetName val="CostPT"/>
      <sheetName val="CostCon0521"/>
      <sheetName val="CostPT0528"/>
      <sheetName val="CurrConSal"/>
      <sheetName val="CostCon0611"/>
      <sheetName val="CostConEF"/>
      <sheetName val="CurrPTSal"/>
      <sheetName val="StatusQuo"/>
      <sheetName val="Status"/>
      <sheetName val="COLA (3)"/>
      <sheetName val="Coll$#S"/>
      <sheetName val="Cadillac"/>
      <sheetName val="PTIns"/>
      <sheetName val="ConInsB420"/>
      <sheetName val="PTIns (2)"/>
      <sheetName val="InsRate"/>
      <sheetName val="Step%"/>
      <sheetName val="Steps2"/>
      <sheetName val="Steps13"/>
      <sheetName val="Rules"/>
      <sheetName val="Profrights"/>
      <sheetName val="COLA"/>
      <sheetName val="COLA (2)"/>
      <sheetName val="Ques"/>
      <sheetName val="Equity"/>
      <sheetName val="BargCal"/>
      <sheetName val="Furlough"/>
      <sheetName val="BUStruc"/>
      <sheetName val="Salsched2"/>
      <sheetName val="CostCon (2)"/>
      <sheetName val="Corrections"/>
      <sheetName val="Comparable salaries"/>
      <sheetName val="SalaryCosts"/>
      <sheetName val="FacCompGoal"/>
      <sheetName val="FPD"/>
      <sheetName val="CD Rate"/>
      <sheetName val="OPE"/>
      <sheetName val="EarlyRet05"/>
      <sheetName val="MOAs"/>
      <sheetName val="Strategy13"/>
      <sheetName val="Roles"/>
      <sheetName val="Do"/>
      <sheetName val="Do - Wrap Up"/>
      <sheetName val="110513Draft"/>
      <sheetName val="InsProp-1105"/>
      <sheetName val="InsProp1105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54">
          <cell r="T254">
            <v>16768849.935373969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55">
          <cell r="EP55">
            <v>73167.738000000027</v>
          </cell>
        </row>
      </sheetData>
      <sheetData sheetId="6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H70"/>
  <sheetViews>
    <sheetView zoomScale="80" zoomScaleNormal="80" workbookViewId="0">
      <pane xSplit="1" ySplit="3" topLeftCell="D25" activePane="bottomRight" state="frozen"/>
      <selection activeCell="B49" sqref="B49"/>
      <selection pane="topRight" activeCell="B49" sqref="B49"/>
      <selection pane="bottomLeft" activeCell="B49" sqref="B49"/>
      <selection pane="bottomRight" activeCell="E14" sqref="E14"/>
    </sheetView>
  </sheetViews>
  <sheetFormatPr defaultColWidth="9.140625" defaultRowHeight="15.75" x14ac:dyDescent="0.25"/>
  <cols>
    <col min="1" max="1" width="40.85546875" style="3" customWidth="1"/>
    <col min="2" max="2" width="15" style="7" customWidth="1"/>
    <col min="3" max="3" width="15" style="3" customWidth="1"/>
    <col min="4" max="4" width="15" style="7" customWidth="1"/>
    <col min="5" max="5" width="15.140625" style="3" customWidth="1"/>
    <col min="6" max="6" width="14.140625" style="7" customWidth="1"/>
    <col min="7" max="7" width="14.42578125" style="3" customWidth="1"/>
    <col min="8" max="8" width="7.140625" style="7" hidden="1" customWidth="1"/>
    <col min="9" max="9" width="11.28515625" style="3" hidden="1" customWidth="1"/>
    <col min="10" max="10" width="39.28515625" style="3" customWidth="1"/>
    <col min="11" max="14" width="11.28515625" style="3" customWidth="1"/>
    <col min="15" max="15" width="7.140625" style="3" bestFit="1" customWidth="1"/>
    <col min="16" max="16" width="12" style="3" customWidth="1"/>
    <col min="17" max="242" width="9.140625" style="11"/>
    <col min="243" max="16384" width="9.140625" style="3"/>
  </cols>
  <sheetData>
    <row r="1" spans="1:242" ht="16.149999999999999" customHeight="1" thickBot="1" x14ac:dyDescent="0.3"/>
    <row r="2" spans="1:242" ht="60" customHeight="1" x14ac:dyDescent="0.25">
      <c r="A2" s="28">
        <v>41583</v>
      </c>
      <c r="B2" s="161" t="s">
        <v>95</v>
      </c>
      <c r="C2" s="162"/>
      <c r="D2" s="163" t="s">
        <v>96</v>
      </c>
      <c r="E2" s="164"/>
      <c r="F2" s="165" t="s">
        <v>77</v>
      </c>
      <c r="G2" s="166"/>
      <c r="H2" s="165" t="s">
        <v>78</v>
      </c>
      <c r="I2" s="166"/>
      <c r="J2" s="11"/>
      <c r="K2" s="11"/>
      <c r="L2" s="11"/>
      <c r="M2" s="11"/>
      <c r="N2" s="11"/>
      <c r="O2" s="11"/>
      <c r="P2" s="11"/>
      <c r="IA2" s="3"/>
      <c r="IB2" s="3"/>
      <c r="IC2" s="3"/>
      <c r="ID2" s="3"/>
      <c r="IE2" s="3"/>
      <c r="IF2" s="3"/>
      <c r="IG2" s="3"/>
      <c r="IH2" s="3"/>
    </row>
    <row r="3" spans="1:242" s="5" customFormat="1" ht="15" customHeight="1" x14ac:dyDescent="0.25">
      <c r="A3" s="8"/>
      <c r="B3" s="168" t="s">
        <v>14</v>
      </c>
      <c r="C3" s="169"/>
      <c r="D3" s="170" t="s">
        <v>14</v>
      </c>
      <c r="E3" s="171"/>
      <c r="F3" s="172" t="s">
        <v>0</v>
      </c>
      <c r="G3" s="173"/>
      <c r="H3" s="172" t="s">
        <v>78</v>
      </c>
      <c r="I3" s="173"/>
      <c r="J3" s="120" t="s">
        <v>111</v>
      </c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5"/>
      <c r="GD3" s="105"/>
      <c r="GE3" s="105"/>
      <c r="GF3" s="105"/>
      <c r="GG3" s="105"/>
      <c r="GH3" s="105"/>
      <c r="GI3" s="105"/>
      <c r="GJ3" s="105"/>
      <c r="GK3" s="105"/>
      <c r="GL3" s="105"/>
      <c r="GM3" s="105"/>
      <c r="GN3" s="105"/>
      <c r="GO3" s="105"/>
      <c r="GP3" s="105"/>
      <c r="GQ3" s="105"/>
      <c r="GR3" s="105"/>
      <c r="GS3" s="105"/>
      <c r="GT3" s="105"/>
      <c r="GU3" s="105"/>
      <c r="GV3" s="105"/>
      <c r="GW3" s="105"/>
      <c r="GX3" s="105"/>
      <c r="GY3" s="105"/>
      <c r="GZ3" s="105"/>
      <c r="HA3" s="105"/>
      <c r="HB3" s="105"/>
      <c r="HC3" s="105"/>
      <c r="HD3" s="105"/>
      <c r="HE3" s="105"/>
      <c r="HF3" s="105"/>
      <c r="HG3" s="105"/>
      <c r="HH3" s="105"/>
      <c r="HI3" s="105"/>
      <c r="HJ3" s="105"/>
      <c r="HK3" s="105"/>
      <c r="HL3" s="105"/>
      <c r="HM3" s="105"/>
      <c r="HN3" s="105"/>
      <c r="HO3" s="105"/>
      <c r="HP3" s="105"/>
      <c r="HQ3" s="105"/>
      <c r="HR3" s="105"/>
      <c r="HS3" s="105"/>
      <c r="HT3" s="105"/>
      <c r="HU3" s="105"/>
      <c r="HV3" s="105"/>
      <c r="HW3" s="105"/>
      <c r="HX3" s="105"/>
      <c r="HY3" s="105"/>
      <c r="HZ3" s="105"/>
    </row>
    <row r="4" spans="1:242" s="5" customFormat="1" ht="27.6" customHeight="1" x14ac:dyDescent="0.25">
      <c r="A4" s="8"/>
      <c r="B4" s="82" t="s">
        <v>2</v>
      </c>
      <c r="C4" s="83" t="s">
        <v>3</v>
      </c>
      <c r="D4" s="82" t="s">
        <v>2</v>
      </c>
      <c r="E4" s="83" t="s">
        <v>3</v>
      </c>
      <c r="F4" s="84" t="s">
        <v>2</v>
      </c>
      <c r="G4" s="85" t="s">
        <v>3</v>
      </c>
      <c r="H4" s="84" t="s">
        <v>2</v>
      </c>
      <c r="I4" s="85" t="s">
        <v>3</v>
      </c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</row>
    <row r="5" spans="1:242" s="10" customFormat="1" ht="19.899999999999999" customHeight="1" x14ac:dyDescent="0.25">
      <c r="A5" s="9" t="s">
        <v>36</v>
      </c>
      <c r="B5" s="23">
        <v>1.7500000000000002E-2</v>
      </c>
      <c r="C5" s="25">
        <f>B5*'Supposal Inputs'!$B$3</f>
        <v>311500.00000000006</v>
      </c>
      <c r="D5" s="23">
        <v>0.01</v>
      </c>
      <c r="E5" s="25">
        <f>D5*('Supposal Inputs'!$B$3+C5+C9)</f>
        <v>184771.19302440365</v>
      </c>
      <c r="F5" s="86">
        <v>1.5900000000000001E-2</v>
      </c>
      <c r="G5" s="25">
        <f>F5*'Supposal Inputs'!$B$3</f>
        <v>283020</v>
      </c>
      <c r="H5" s="86">
        <v>1.5599999999999999E-2</v>
      </c>
      <c r="I5" s="25">
        <f>H5*('Supposal Inputs'!$B$3+G5+G9)</f>
        <v>285605.11199999996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</row>
    <row r="6" spans="1:242" ht="16.149999999999999" customHeight="1" x14ac:dyDescent="0.25">
      <c r="A6" s="9" t="s">
        <v>37</v>
      </c>
      <c r="B6" s="23">
        <v>1.7500000000000002E-2</v>
      </c>
      <c r="C6" s="25">
        <f>B6*'Supposal Inputs'!$B$9</f>
        <v>235610.23500000002</v>
      </c>
      <c r="D6" s="23">
        <v>0.01</v>
      </c>
      <c r="E6" s="25">
        <f>D6*('Supposal Inputs'!$B$9+C6+C10)</f>
        <v>140373.2121525</v>
      </c>
      <c r="F6" s="86">
        <v>1.5900000000000001E-2</v>
      </c>
      <c r="G6" s="25">
        <f>F6*'Supposal Inputs'!$B$9</f>
        <v>214068.72780000002</v>
      </c>
      <c r="H6" s="86">
        <v>1.5599999999999999E-2</v>
      </c>
      <c r="I6" s="25">
        <f>H6*('Supposal Inputs'!$B$9+G6+G10)</f>
        <v>216601.70575368</v>
      </c>
      <c r="J6" s="11"/>
      <c r="K6" s="11"/>
      <c r="L6" s="11"/>
      <c r="M6" s="11"/>
      <c r="N6" s="11"/>
      <c r="O6" s="11"/>
      <c r="P6" s="11"/>
      <c r="IA6" s="3"/>
      <c r="IB6" s="3"/>
      <c r="IC6" s="3"/>
      <c r="ID6" s="3"/>
      <c r="IE6" s="3"/>
      <c r="IF6" s="3"/>
      <c r="IG6" s="3"/>
      <c r="IH6" s="3"/>
    </row>
    <row r="7" spans="1:242" s="103" customFormat="1" ht="16.149999999999999" customHeight="1" x14ac:dyDescent="0.25">
      <c r="A7" s="99" t="s">
        <v>91</v>
      </c>
      <c r="B7" s="104"/>
      <c r="C7" s="101"/>
      <c r="D7" s="104"/>
      <c r="E7" s="101"/>
      <c r="F7" s="104"/>
      <c r="G7" s="101"/>
      <c r="H7" s="104"/>
      <c r="I7" s="101" t="s">
        <v>99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</row>
    <row r="8" spans="1:242" s="103" customFormat="1" ht="16.149999999999999" customHeight="1" x14ac:dyDescent="0.25">
      <c r="A8" s="99" t="s">
        <v>92</v>
      </c>
      <c r="B8" s="104"/>
      <c r="C8" s="101"/>
      <c r="D8" s="104"/>
      <c r="E8" s="101"/>
      <c r="F8" s="104"/>
      <c r="G8" s="101"/>
      <c r="H8" s="104"/>
      <c r="I8" s="101" t="s">
        <v>99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</row>
    <row r="9" spans="1:242" ht="16.149999999999999" customHeight="1" x14ac:dyDescent="0.25">
      <c r="A9" s="9" t="s">
        <v>38</v>
      </c>
      <c r="B9" s="17">
        <v>1</v>
      </c>
      <c r="C9" s="25">
        <f>B9*'Supposal Inputs'!$B$3*'Supposal Inputs'!$C$3*'Supposal Inputs'!$D$3</f>
        <v>365619.3024403649</v>
      </c>
      <c r="D9" s="16">
        <v>0.75</v>
      </c>
      <c r="E9" s="25">
        <f>D9*('Supposal Inputs'!$B$3+C9+C5)*'Supposal Inputs'!$C$3*'Supposal Inputs'!$E$3</f>
        <v>310845.46107183542</v>
      </c>
      <c r="F9" s="17">
        <v>1</v>
      </c>
      <c r="G9" s="78">
        <v>225000</v>
      </c>
      <c r="H9" s="17">
        <v>1</v>
      </c>
      <c r="I9" s="25">
        <f>H9*('Supposal Inputs'!$B$3+G9+G5)*'Supposal Inputs'!$C$3*'Supposal Inputs'!$E$3</f>
        <v>410667.54509080865</v>
      </c>
      <c r="J9" s="11" t="s">
        <v>112</v>
      </c>
      <c r="K9" s="11"/>
      <c r="L9" s="11"/>
      <c r="M9" s="11"/>
      <c r="N9" s="11"/>
      <c r="O9" s="11"/>
      <c r="P9" s="11"/>
      <c r="IA9" s="3"/>
      <c r="IB9" s="3"/>
      <c r="IC9" s="3"/>
      <c r="ID9" s="3"/>
      <c r="IE9" s="3"/>
      <c r="IF9" s="3"/>
      <c r="IG9" s="3"/>
      <c r="IH9" s="3"/>
    </row>
    <row r="10" spans="1:242" ht="16.149999999999999" customHeight="1" x14ac:dyDescent="0.25">
      <c r="A10" s="9" t="s">
        <v>39</v>
      </c>
      <c r="B10" s="17">
        <v>1</v>
      </c>
      <c r="C10" s="25">
        <f>B10*'Supposal Inputs'!$B$9*'Supposal Inputs'!$C$9*'Supposal Inputs'!$D$9</f>
        <v>338268.98024999996</v>
      </c>
      <c r="D10" s="17">
        <v>1</v>
      </c>
      <c r="E10" s="25">
        <f>D10*('Supposal Inputs'!$B$9+C10+C6)*'Supposal Inputs'!$C$9*'Supposal Inputs'!$E$9</f>
        <v>330578.91461913747</v>
      </c>
      <c r="F10" s="17">
        <v>1</v>
      </c>
      <c r="G10" s="78">
        <v>207214</v>
      </c>
      <c r="H10" s="17">
        <v>1</v>
      </c>
      <c r="I10" s="25">
        <f>H10*('Supposal Inputs'!$B$9+G10+G6)*'Supposal Inputs'!$C$9*'Supposal Inputs'!$E$9</f>
        <v>326985.26733969001</v>
      </c>
      <c r="J10" s="11" t="s">
        <v>112</v>
      </c>
      <c r="K10" s="11"/>
      <c r="L10" s="11"/>
      <c r="M10" s="11"/>
      <c r="N10" s="11"/>
      <c r="O10" s="11"/>
      <c r="P10" s="11"/>
      <c r="IA10" s="3"/>
      <c r="IB10" s="3"/>
      <c r="IC10" s="3"/>
      <c r="ID10" s="3"/>
      <c r="IE10" s="3"/>
      <c r="IF10" s="3"/>
      <c r="IG10" s="3"/>
      <c r="IH10" s="3"/>
    </row>
    <row r="11" spans="1:242" ht="16.149999999999999" customHeight="1" x14ac:dyDescent="0.25">
      <c r="A11" s="9" t="s">
        <v>7</v>
      </c>
      <c r="B11" s="17"/>
      <c r="C11" s="25"/>
      <c r="D11" s="17"/>
      <c r="E11" s="25"/>
      <c r="F11" s="17">
        <v>0</v>
      </c>
      <c r="G11" s="25">
        <f>F11*'Supposal Inputs'!$B$3*(1-'Supposal Inputs'!$D$3)</f>
        <v>0</v>
      </c>
      <c r="H11" s="17">
        <v>0</v>
      </c>
      <c r="I11" s="25">
        <f>H11*('Supposal Inputs'!$B$3+G5)*(1-'Supposal Inputs'!$E$3)</f>
        <v>0</v>
      </c>
      <c r="J11" s="11"/>
      <c r="K11" s="11"/>
      <c r="L11" s="11"/>
      <c r="M11" s="11"/>
      <c r="N11" s="11"/>
      <c r="O11" s="11"/>
      <c r="P11" s="11"/>
      <c r="IA11" s="3"/>
      <c r="IB11" s="3"/>
      <c r="IC11" s="3"/>
      <c r="ID11" s="3"/>
      <c r="IE11" s="3"/>
      <c r="IF11" s="3"/>
      <c r="IG11" s="3"/>
      <c r="IH11" s="3"/>
    </row>
    <row r="12" spans="1:242" x14ac:dyDescent="0.25">
      <c r="A12" s="9" t="s">
        <v>40</v>
      </c>
      <c r="B12" s="92"/>
      <c r="C12" s="25"/>
      <c r="D12" s="92"/>
      <c r="E12" s="25"/>
      <c r="F12" s="34">
        <v>0</v>
      </c>
      <c r="G12" s="25">
        <f>460*F12</f>
        <v>0</v>
      </c>
      <c r="H12" s="34">
        <v>0</v>
      </c>
      <c r="I12" s="25">
        <f>460*H12</f>
        <v>0</v>
      </c>
      <c r="J12" s="11"/>
      <c r="K12" s="11"/>
      <c r="L12" s="11"/>
      <c r="M12" s="11"/>
      <c r="N12" s="11"/>
      <c r="O12" s="11"/>
      <c r="P12" s="11"/>
      <c r="IA12" s="3"/>
      <c r="IB12" s="3"/>
      <c r="IC12" s="3"/>
      <c r="ID12" s="3"/>
      <c r="IE12" s="3"/>
      <c r="IF12" s="3"/>
      <c r="IG12" s="3"/>
      <c r="IH12" s="3"/>
    </row>
    <row r="13" spans="1:242" ht="31.5" x14ac:dyDescent="0.25">
      <c r="A13" s="9" t="s">
        <v>89</v>
      </c>
      <c r="B13" s="34"/>
      <c r="C13" s="25"/>
      <c r="D13" s="34"/>
      <c r="E13" s="25"/>
      <c r="F13" s="17">
        <v>0.5</v>
      </c>
      <c r="G13" s="116">
        <f>('Supposal Inputs'!$B$3*'Supposal Inputs'!$C$3*(1-'Supposal Inputs'!$D$3)*F13)-C16</f>
        <v>64185.523609150114</v>
      </c>
      <c r="H13" s="80"/>
      <c r="I13" s="78">
        <v>0</v>
      </c>
      <c r="J13" s="121" t="s">
        <v>113</v>
      </c>
      <c r="K13" s="11"/>
      <c r="L13" s="11"/>
      <c r="M13" s="11"/>
      <c r="N13" s="11"/>
      <c r="O13" s="11"/>
      <c r="P13" s="11"/>
      <c r="IA13" s="3"/>
      <c r="IB13" s="3"/>
      <c r="IC13" s="3"/>
      <c r="ID13" s="3"/>
      <c r="IE13" s="3"/>
      <c r="IF13" s="3"/>
      <c r="IG13" s="3"/>
      <c r="IH13" s="3"/>
    </row>
    <row r="14" spans="1:242" x14ac:dyDescent="0.25">
      <c r="A14" s="9" t="s">
        <v>88</v>
      </c>
      <c r="B14" s="34"/>
      <c r="C14" s="25"/>
      <c r="D14" s="34"/>
      <c r="E14" s="25"/>
      <c r="F14" s="17">
        <v>0.5</v>
      </c>
      <c r="G14" s="116">
        <f>F14*'Supposal Inputs'!$B$9*'Supposal Inputs'!$C$9*(1-'Supposal Inputs'!$D$9)</f>
        <v>83305.04737499998</v>
      </c>
      <c r="H14" s="80"/>
      <c r="I14" s="78">
        <v>0</v>
      </c>
      <c r="J14" s="11" t="s">
        <v>109</v>
      </c>
      <c r="K14" s="11"/>
      <c r="L14" s="11"/>
      <c r="M14" s="11"/>
      <c r="N14" s="11"/>
      <c r="O14" s="11"/>
      <c r="P14" s="11"/>
      <c r="IA14" s="3"/>
      <c r="IB14" s="3"/>
      <c r="IC14" s="3"/>
      <c r="ID14" s="3"/>
      <c r="IE14" s="3"/>
      <c r="IF14" s="3"/>
      <c r="IG14" s="3"/>
      <c r="IH14" s="3"/>
    </row>
    <row r="15" spans="1:242" x14ac:dyDescent="0.25">
      <c r="A15" s="9" t="s">
        <v>90</v>
      </c>
      <c r="B15" s="34"/>
      <c r="C15" s="25"/>
      <c r="D15" s="34"/>
      <c r="E15" s="25"/>
      <c r="F15" s="80">
        <f>430*0.4</f>
        <v>172</v>
      </c>
      <c r="G15" s="78">
        <f>30.25*1.0159*1.15*(8)*F15+30.25*1.0159*0.15*(24)*F15</f>
        <v>67657.314559999999</v>
      </c>
      <c r="H15" s="34">
        <v>430</v>
      </c>
      <c r="I15" s="25">
        <f>30.25*1.0159*1.056*1.15*(8)*H15+30.25*1.0159*1.056*0.15*(24)*H15</f>
        <v>178615.31043839999</v>
      </c>
      <c r="J15" s="11" t="s">
        <v>110</v>
      </c>
      <c r="K15" s="11"/>
      <c r="L15" s="11"/>
      <c r="M15" s="11"/>
      <c r="N15" s="11"/>
      <c r="O15" s="11"/>
      <c r="P15" s="11"/>
      <c r="IA15" s="3"/>
      <c r="IB15" s="3"/>
      <c r="IC15" s="3"/>
      <c r="ID15" s="3"/>
      <c r="IE15" s="3"/>
      <c r="IF15" s="3"/>
      <c r="IG15" s="3"/>
      <c r="IH15" s="3"/>
    </row>
    <row r="16" spans="1:242" x14ac:dyDescent="0.25">
      <c r="A16" s="9" t="s">
        <v>69</v>
      </c>
      <c r="B16" s="18">
        <f>'Supposal Inputs'!$B$46*(1-'Supposal Inputs'!$D$3)</f>
        <v>111.707164490232</v>
      </c>
      <c r="C16" s="25">
        <f>B16*('Supposal Inputs'!$B$19*1.0175*0.01)</f>
        <v>86754.825170667435</v>
      </c>
      <c r="D16" s="18">
        <f>'Supposal Inputs'!$B$46*(1-'Supposal Inputs'!$E$3)</f>
        <v>99.254354630841576</v>
      </c>
      <c r="E16" s="25">
        <f>D16*('Supposal Inputs'!$B$19*1.0175*1.01*0.01)</f>
        <v>77854.470346177564</v>
      </c>
      <c r="F16" s="18">
        <v>0</v>
      </c>
      <c r="G16" s="25">
        <f>F16*('Supposal Inputs'!$B$19*1.0175*0.005)</f>
        <v>0</v>
      </c>
      <c r="H16" s="18">
        <v>0</v>
      </c>
      <c r="I16" s="25">
        <f>H16*('Supposal Inputs'!$B$19*1.0175*1.01*0.005)</f>
        <v>0</v>
      </c>
      <c r="J16" s="11"/>
      <c r="K16" s="11"/>
      <c r="L16" s="11"/>
      <c r="M16" s="11"/>
      <c r="N16" s="11"/>
      <c r="O16" s="11"/>
      <c r="P16" s="11"/>
      <c r="IA16" s="3"/>
      <c r="IB16" s="3"/>
      <c r="IC16" s="3"/>
      <c r="ID16" s="3"/>
      <c r="IE16" s="3"/>
      <c r="IF16" s="3"/>
      <c r="IG16" s="3"/>
      <c r="IH16" s="3"/>
    </row>
    <row r="17" spans="1:242" x14ac:dyDescent="0.25">
      <c r="A17" s="9" t="s">
        <v>70</v>
      </c>
      <c r="B17" s="18">
        <f>'Supposal Inputs'!$B$47*(1-'Supposal Inputs'!$D$9)</f>
        <v>138.6</v>
      </c>
      <c r="C17" s="25">
        <f>B17*(('Supposal Inputs'!$B$19*1.0175*0.01)*0.6)</f>
        <v>64584.320030999996</v>
      </c>
      <c r="D17" s="18">
        <f>'Supposal Inputs'!$B$47*(1-'Supposal Inputs'!$E$9)</f>
        <v>156.24</v>
      </c>
      <c r="E17" s="25">
        <f>D17*('Supposal Inputs'!$B$19*1.0175*1.01*0.01)*0.6</f>
        <v>73532.184006204014</v>
      </c>
      <c r="F17" s="18">
        <v>0</v>
      </c>
      <c r="G17" s="25">
        <f>F17*(('Supposal Inputs'!$B$19*1.0175*0.005)*0.6)</f>
        <v>0</v>
      </c>
      <c r="H17" s="18">
        <v>0</v>
      </c>
      <c r="I17" s="25">
        <f>H17*('Supposal Inputs'!$B$19*1.0175*1.01*0.005)*0.6</f>
        <v>0</v>
      </c>
      <c r="J17" s="11"/>
      <c r="K17" s="11"/>
      <c r="L17" s="11"/>
      <c r="M17" s="11"/>
      <c r="N17" s="11"/>
      <c r="O17" s="11"/>
      <c r="P17" s="11"/>
      <c r="IA17" s="3"/>
      <c r="IB17" s="3"/>
      <c r="IC17" s="3"/>
      <c r="ID17" s="3"/>
      <c r="IE17" s="3"/>
      <c r="IF17" s="3"/>
      <c r="IG17" s="3"/>
      <c r="IH17" s="3"/>
    </row>
    <row r="18" spans="1:242" x14ac:dyDescent="0.25">
      <c r="A18" s="9" t="s">
        <v>71</v>
      </c>
      <c r="B18" s="18"/>
      <c r="C18" s="25">
        <f>B18*('Supposal Inputs'!$B$52+'Supposal Inputs'!$B$53)</f>
        <v>0</v>
      </c>
      <c r="D18" s="18">
        <f>B18</f>
        <v>0</v>
      </c>
      <c r="E18" s="25">
        <f>C18</f>
        <v>0</v>
      </c>
      <c r="F18" s="18"/>
      <c r="G18" s="25">
        <f>F18*('Supposal Inputs'!$B$52+'Supposal Inputs'!$B$53)</f>
        <v>0</v>
      </c>
      <c r="H18" s="18">
        <f>F18</f>
        <v>0</v>
      </c>
      <c r="I18" s="25">
        <f>G18</f>
        <v>0</v>
      </c>
      <c r="J18" s="11"/>
      <c r="K18" s="11"/>
      <c r="L18" s="11"/>
      <c r="M18" s="11"/>
      <c r="N18" s="11"/>
      <c r="O18" s="11"/>
      <c r="P18" s="11"/>
      <c r="IA18" s="3"/>
      <c r="IB18" s="3"/>
      <c r="IC18" s="3"/>
      <c r="ID18" s="3"/>
      <c r="IE18" s="3"/>
      <c r="IF18" s="3"/>
      <c r="IG18" s="3"/>
      <c r="IH18" s="3"/>
    </row>
    <row r="19" spans="1:242" x14ac:dyDescent="0.25">
      <c r="A19" s="9" t="s">
        <v>23</v>
      </c>
      <c r="B19" s="17"/>
      <c r="C19" s="24"/>
      <c r="D19" s="17"/>
      <c r="E19" s="24"/>
      <c r="F19" s="17"/>
      <c r="G19" s="25"/>
      <c r="H19" s="17"/>
      <c r="I19" s="25"/>
      <c r="J19" s="11"/>
      <c r="K19" s="11"/>
      <c r="L19" s="11"/>
      <c r="M19" s="11"/>
      <c r="N19" s="11"/>
      <c r="O19" s="11"/>
      <c r="P19" s="11"/>
      <c r="IA19" s="3"/>
      <c r="IB19" s="3"/>
      <c r="IC19" s="3"/>
      <c r="ID19" s="3"/>
      <c r="IE19" s="3"/>
      <c r="IF19" s="3"/>
      <c r="IG19" s="3"/>
      <c r="IH19" s="3"/>
    </row>
    <row r="20" spans="1:242" x14ac:dyDescent="0.25">
      <c r="A20" s="9" t="s">
        <v>64</v>
      </c>
      <c r="B20" s="17"/>
      <c r="C20" s="24"/>
      <c r="D20" s="17"/>
      <c r="E20" s="24"/>
      <c r="F20" s="17"/>
      <c r="G20" s="25"/>
      <c r="H20" s="17"/>
      <c r="I20" s="25"/>
      <c r="J20" s="11"/>
      <c r="K20" s="11"/>
      <c r="L20" s="11"/>
      <c r="M20" s="11"/>
      <c r="N20" s="11"/>
      <c r="O20" s="11"/>
      <c r="P20" s="11"/>
      <c r="IA20" s="3"/>
      <c r="IB20" s="3"/>
      <c r="IC20" s="3"/>
      <c r="ID20" s="3"/>
      <c r="IE20" s="3"/>
      <c r="IF20" s="3"/>
      <c r="IG20" s="3"/>
      <c r="IH20" s="3"/>
    </row>
    <row r="21" spans="1:242" s="103" customFormat="1" x14ac:dyDescent="0.25">
      <c r="A21" s="99" t="s">
        <v>97</v>
      </c>
      <c r="B21" s="102"/>
      <c r="C21" s="101"/>
      <c r="D21" s="102"/>
      <c r="E21" s="101"/>
      <c r="F21" s="80">
        <f>255*0.0666</f>
        <v>16.983000000000001</v>
      </c>
      <c r="G21" s="78">
        <f>(49.33*1.0159*1.0156*22*8)*F21</f>
        <v>152128.9421697013</v>
      </c>
      <c r="H21" s="100">
        <v>255</v>
      </c>
      <c r="I21" s="101">
        <v>0</v>
      </c>
      <c r="J21" s="11" t="s">
        <v>114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</row>
    <row r="22" spans="1:242" s="103" customFormat="1" x14ac:dyDescent="0.25">
      <c r="A22" s="99" t="s">
        <v>98</v>
      </c>
      <c r="B22" s="102"/>
      <c r="C22" s="101"/>
      <c r="D22" s="102"/>
      <c r="E22" s="101"/>
      <c r="F22" s="80">
        <f>430*0.0666</f>
        <v>28.638000000000002</v>
      </c>
      <c r="G22" s="78">
        <f>(30.25*1.0159*1.0156*22*8)*F22</f>
        <v>157309.29476732449</v>
      </c>
      <c r="H22" s="100">
        <v>430</v>
      </c>
      <c r="I22" s="101">
        <v>0</v>
      </c>
      <c r="J22" s="11" t="s">
        <v>114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</row>
    <row r="23" spans="1:242" s="103" customFormat="1" x14ac:dyDescent="0.25">
      <c r="A23" s="99" t="s">
        <v>93</v>
      </c>
      <c r="B23" s="102"/>
      <c r="C23" s="101"/>
      <c r="D23" s="102"/>
      <c r="E23" s="101"/>
      <c r="F23" s="79">
        <f>20*0.0666</f>
        <v>1.3320000000000001</v>
      </c>
      <c r="G23" s="78">
        <f>(12*8*10*49.33*1.0159*0.5)*F23</f>
        <v>32041.108897919999</v>
      </c>
      <c r="H23" s="100">
        <v>20</v>
      </c>
      <c r="I23" s="101">
        <f>G23</f>
        <v>32041.108897919999</v>
      </c>
      <c r="J23" s="11" t="s">
        <v>114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</row>
    <row r="24" spans="1:242" s="103" customFormat="1" x14ac:dyDescent="0.25">
      <c r="A24" s="99" t="s">
        <v>94</v>
      </c>
      <c r="B24" s="102"/>
      <c r="C24" s="101"/>
      <c r="D24" s="102"/>
      <c r="E24" s="101"/>
      <c r="F24" s="102"/>
      <c r="G24" s="101" t="s">
        <v>100</v>
      </c>
      <c r="H24" s="102"/>
      <c r="I24" s="101" t="s">
        <v>100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</row>
    <row r="25" spans="1:242" x14ac:dyDescent="0.25">
      <c r="A25" s="9" t="s">
        <v>15</v>
      </c>
      <c r="B25" s="16">
        <f>(5.73-3.82)</f>
        <v>1.9100000000000006</v>
      </c>
      <c r="C25" s="24">
        <f>B25*'Supposal Inputs'!$B$36</f>
        <v>80220.000000000029</v>
      </c>
      <c r="D25" s="17">
        <f>(10-3.82)/2</f>
        <v>3.09</v>
      </c>
      <c r="E25" s="24">
        <f>D25*'Supposal Inputs'!$B$36</f>
        <v>129780</v>
      </c>
      <c r="F25" s="117">
        <v>2.88</v>
      </c>
      <c r="G25" s="118">
        <f>F25*'Supposal Inputs'!$B$36</f>
        <v>120960</v>
      </c>
      <c r="H25" s="79">
        <v>6</v>
      </c>
      <c r="I25" s="78">
        <f>H25*(0.8*'Supposal Inputs'!B36)</f>
        <v>201600</v>
      </c>
      <c r="J25" s="11"/>
      <c r="K25" s="11"/>
      <c r="L25" s="11"/>
      <c r="M25" s="11"/>
      <c r="N25" s="11"/>
      <c r="O25" s="11"/>
      <c r="P25" s="11"/>
      <c r="IA25" s="3"/>
      <c r="IB25" s="3"/>
      <c r="IC25" s="3"/>
      <c r="ID25" s="3"/>
      <c r="IE25" s="3"/>
      <c r="IF25" s="3"/>
      <c r="IG25" s="3"/>
      <c r="IH25" s="3"/>
    </row>
    <row r="26" spans="1:242" x14ac:dyDescent="0.25">
      <c r="A26" s="9" t="s">
        <v>5</v>
      </c>
      <c r="B26" s="16">
        <f>(5.73-3.82)</f>
        <v>1.9100000000000006</v>
      </c>
      <c r="C26" s="24">
        <f>B26*'Supposal Inputs'!$B$37</f>
        <v>22920.000000000007</v>
      </c>
      <c r="D26" s="16">
        <f>D25</f>
        <v>3.09</v>
      </c>
      <c r="E26" s="24">
        <f>D26*'Supposal Inputs'!$B$37</f>
        <v>37080</v>
      </c>
      <c r="F26" s="117">
        <v>2.88</v>
      </c>
      <c r="G26" s="118">
        <f>F26*'Supposal Inputs'!$B$37</f>
        <v>34560</v>
      </c>
      <c r="H26" s="79">
        <v>1</v>
      </c>
      <c r="I26" s="78">
        <f>G26*1.06</f>
        <v>36633.599999999999</v>
      </c>
      <c r="J26" s="11"/>
      <c r="K26" s="11"/>
      <c r="L26" s="11"/>
      <c r="M26" s="11"/>
      <c r="N26" s="11"/>
      <c r="O26" s="11"/>
      <c r="P26" s="11"/>
      <c r="IA26" s="3"/>
      <c r="IB26" s="3"/>
      <c r="IC26" s="3"/>
      <c r="ID26" s="3"/>
      <c r="IE26" s="3"/>
      <c r="IF26" s="3"/>
      <c r="IG26" s="3"/>
      <c r="IH26" s="3"/>
    </row>
    <row r="27" spans="1:242" x14ac:dyDescent="0.25">
      <c r="A27" s="115" t="s">
        <v>107</v>
      </c>
      <c r="B27" s="16"/>
      <c r="C27" s="24"/>
      <c r="D27" s="16"/>
      <c r="E27" s="24"/>
      <c r="F27" s="117" t="s">
        <v>108</v>
      </c>
      <c r="G27" s="118">
        <f>'[1]InsProp-1105'!$EP$55</f>
        <v>73167.738000000027</v>
      </c>
      <c r="H27" s="79"/>
      <c r="I27" s="78"/>
      <c r="J27" s="11"/>
      <c r="K27" s="11"/>
      <c r="L27" s="11"/>
      <c r="M27" s="11"/>
      <c r="N27" s="11"/>
      <c r="O27" s="11"/>
      <c r="P27" s="11"/>
      <c r="IA27" s="3"/>
      <c r="IB27" s="3"/>
      <c r="IC27" s="3"/>
      <c r="ID27" s="3"/>
      <c r="IE27" s="3"/>
      <c r="IF27" s="3"/>
      <c r="IG27" s="3"/>
      <c r="IH27" s="3"/>
    </row>
    <row r="28" spans="1:242" x14ac:dyDescent="0.25">
      <c r="A28" s="9" t="s">
        <v>25</v>
      </c>
      <c r="B28" s="20"/>
      <c r="C28" s="24"/>
      <c r="D28" s="20"/>
      <c r="E28" s="24"/>
      <c r="F28" s="87"/>
      <c r="G28" s="25"/>
      <c r="H28" s="87"/>
      <c r="I28" s="25"/>
      <c r="J28" s="11"/>
      <c r="K28" s="11"/>
      <c r="L28" s="11"/>
      <c r="M28" s="11"/>
      <c r="N28" s="11"/>
      <c r="O28" s="11"/>
      <c r="P28" s="11"/>
      <c r="IA28" s="3"/>
      <c r="IB28" s="3"/>
      <c r="IC28" s="3"/>
      <c r="ID28" s="3"/>
      <c r="IE28" s="3"/>
      <c r="IF28" s="3"/>
      <c r="IG28" s="3"/>
      <c r="IH28" s="3"/>
    </row>
    <row r="29" spans="1:242" x14ac:dyDescent="0.25">
      <c r="A29" s="9"/>
      <c r="B29" s="20"/>
      <c r="C29" s="24"/>
      <c r="D29" s="20"/>
      <c r="E29" s="24"/>
      <c r="F29" s="87"/>
      <c r="G29" s="25"/>
      <c r="H29" s="87"/>
      <c r="I29" s="25"/>
      <c r="J29" s="11"/>
      <c r="K29" s="11"/>
      <c r="L29" s="11"/>
      <c r="M29" s="11"/>
      <c r="N29" s="11"/>
      <c r="O29" s="11"/>
      <c r="P29" s="11"/>
      <c r="IA29" s="3"/>
      <c r="IB29" s="3"/>
      <c r="IC29" s="3"/>
      <c r="ID29" s="3"/>
      <c r="IE29" s="3"/>
      <c r="IF29" s="3"/>
      <c r="IG29" s="3"/>
      <c r="IH29" s="3"/>
    </row>
    <row r="30" spans="1:242" s="103" customFormat="1" x14ac:dyDescent="0.25">
      <c r="A30" s="99" t="s">
        <v>13</v>
      </c>
      <c r="B30" s="102">
        <v>0</v>
      </c>
      <c r="C30" s="101">
        <f>B30*(312*'Supposal Inputs'!$B$26+101*'Supposal Inputs'!$B$27+96*'Supposal Inputs'!$B$28)</f>
        <v>0</v>
      </c>
      <c r="D30" s="102"/>
      <c r="E30" s="101">
        <f>C30</f>
        <v>0</v>
      </c>
      <c r="F30" s="102">
        <v>0</v>
      </c>
      <c r="G30" s="101">
        <v>0</v>
      </c>
      <c r="H30" s="102"/>
      <c r="I30" s="101">
        <f>G30</f>
        <v>0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</row>
    <row r="31" spans="1:242" x14ac:dyDescent="0.25">
      <c r="A31" s="12" t="s">
        <v>21</v>
      </c>
      <c r="B31" s="16"/>
      <c r="C31" s="24"/>
      <c r="D31" s="16"/>
      <c r="E31" s="24"/>
      <c r="F31" s="17"/>
      <c r="G31" s="25"/>
      <c r="H31" s="17"/>
      <c r="I31" s="25"/>
      <c r="J31" s="11"/>
      <c r="K31" s="11"/>
      <c r="L31" s="11"/>
      <c r="M31" s="11"/>
      <c r="N31" s="11"/>
      <c r="O31" s="11"/>
      <c r="P31" s="11"/>
      <c r="IA31" s="3"/>
      <c r="IB31" s="3"/>
      <c r="IC31" s="3"/>
      <c r="ID31" s="3"/>
      <c r="IE31" s="3"/>
      <c r="IF31" s="3"/>
      <c r="IG31" s="3"/>
      <c r="IH31" s="3"/>
    </row>
    <row r="32" spans="1:242" ht="31.5" x14ac:dyDescent="0.25">
      <c r="A32" s="13" t="s">
        <v>12</v>
      </c>
      <c r="B32" s="19"/>
      <c r="C32" s="24"/>
      <c r="D32" s="19"/>
      <c r="E32" s="24"/>
      <c r="F32" s="34"/>
      <c r="G32" s="25"/>
      <c r="H32" s="34"/>
      <c r="I32" s="25"/>
      <c r="J32" s="11"/>
      <c r="K32" s="11"/>
      <c r="L32" s="11"/>
      <c r="M32" s="11"/>
      <c r="N32" s="11"/>
      <c r="O32" s="11"/>
      <c r="P32" s="11"/>
      <c r="IA32" s="3"/>
      <c r="IB32" s="3"/>
      <c r="IC32" s="3"/>
      <c r="ID32" s="3"/>
      <c r="IE32" s="3"/>
      <c r="IF32" s="3"/>
      <c r="IG32" s="3"/>
      <c r="IH32" s="3"/>
    </row>
    <row r="33" spans="1:242" x14ac:dyDescent="0.25">
      <c r="A33" s="9" t="s">
        <v>11</v>
      </c>
      <c r="B33" s="19"/>
      <c r="C33" s="24"/>
      <c r="D33" s="19"/>
      <c r="E33" s="24"/>
      <c r="F33" s="34"/>
      <c r="G33" s="25"/>
      <c r="H33" s="34"/>
      <c r="I33" s="25"/>
      <c r="J33" s="11"/>
      <c r="K33" s="11"/>
      <c r="L33" s="11"/>
      <c r="M33" s="11"/>
      <c r="N33" s="11"/>
      <c r="O33" s="11"/>
      <c r="P33" s="11"/>
      <c r="IA33" s="3"/>
      <c r="IB33" s="3"/>
      <c r="IC33" s="3"/>
      <c r="ID33" s="3"/>
      <c r="IE33" s="3"/>
      <c r="IF33" s="3"/>
      <c r="IG33" s="3"/>
      <c r="IH33" s="3"/>
    </row>
    <row r="34" spans="1:242" x14ac:dyDescent="0.25">
      <c r="A34" s="13" t="s">
        <v>22</v>
      </c>
      <c r="B34" s="17">
        <v>0</v>
      </c>
      <c r="C34" s="25">
        <v>0</v>
      </c>
      <c r="D34" s="17">
        <v>0</v>
      </c>
      <c r="E34" s="25">
        <f>C34</f>
        <v>0</v>
      </c>
      <c r="F34" s="17">
        <v>0</v>
      </c>
      <c r="G34" s="25">
        <v>0</v>
      </c>
      <c r="H34" s="17">
        <v>0</v>
      </c>
      <c r="I34" s="25">
        <f>G34</f>
        <v>0</v>
      </c>
      <c r="J34" s="11"/>
      <c r="K34" s="11"/>
      <c r="L34" s="11"/>
      <c r="M34" s="11"/>
      <c r="N34" s="11"/>
      <c r="O34" s="11"/>
      <c r="P34" s="11"/>
      <c r="IA34" s="3"/>
      <c r="IB34" s="3"/>
      <c r="IC34" s="3"/>
      <c r="ID34" s="3"/>
      <c r="IE34" s="3"/>
      <c r="IF34" s="3"/>
      <c r="IG34" s="3"/>
      <c r="IH34" s="3"/>
    </row>
    <row r="35" spans="1:242" ht="33.6" customHeight="1" x14ac:dyDescent="0.25">
      <c r="A35" s="32" t="s">
        <v>1</v>
      </c>
      <c r="B35" s="37"/>
      <c r="C35" s="26">
        <f>SUM(C5:C34)</f>
        <v>1505477.6628920324</v>
      </c>
      <c r="D35" s="37"/>
      <c r="E35" s="26">
        <f>SUM(E5:E34)</f>
        <v>1284815.4352202581</v>
      </c>
      <c r="F35" s="88"/>
      <c r="G35" s="119">
        <f>SUM(G5:G34)</f>
        <v>1714617.6971790961</v>
      </c>
      <c r="H35" s="88"/>
      <c r="I35" s="89">
        <f>SUM(I5:I34)</f>
        <v>1688749.6495204987</v>
      </c>
      <c r="J35" s="11"/>
      <c r="K35" s="11"/>
      <c r="L35" s="11"/>
      <c r="M35" s="11"/>
      <c r="N35" s="11"/>
      <c r="O35" s="11"/>
      <c r="P35" s="11"/>
      <c r="IA35" s="3"/>
      <c r="IB35" s="3"/>
      <c r="IC35" s="3"/>
      <c r="ID35" s="3"/>
      <c r="IE35" s="3"/>
      <c r="IF35" s="3"/>
      <c r="IG35" s="3"/>
      <c r="IH35" s="3"/>
    </row>
    <row r="36" spans="1:242" s="4" customFormat="1" ht="24.6" hidden="1" customHeight="1" thickBot="1" x14ac:dyDescent="0.3">
      <c r="A36" s="33" t="s">
        <v>6</v>
      </c>
      <c r="B36" s="40"/>
      <c r="C36" s="27">
        <f>SUM(C5:C20)*1.25+SUM(C25:C34)</f>
        <v>1856062.0786150405</v>
      </c>
      <c r="D36" s="40"/>
      <c r="E36" s="27">
        <f>SUM(E5:E20)*1.25+SUM(E25:E34)</f>
        <v>1564304.2940253227</v>
      </c>
      <c r="F36" s="90"/>
      <c r="G36" s="91">
        <f>SUM(G5:G24)*1.25+SUM(G25:G34)</f>
        <v>2086100.1869738698</v>
      </c>
      <c r="H36" s="90"/>
      <c r="I36" s="91">
        <f>SUM(I5:I24)*1.25+SUM(I25:I34)</f>
        <v>2051378.6619006232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7"/>
      <c r="HV36" s="107"/>
      <c r="HW36" s="107"/>
      <c r="HX36" s="107"/>
      <c r="HY36" s="107"/>
      <c r="HZ36" s="107"/>
    </row>
    <row r="37" spans="1:242" s="4" customFormat="1" x14ac:dyDescent="0.25">
      <c r="A37" s="15"/>
      <c r="B37" s="21"/>
      <c r="C37" s="14"/>
      <c r="D37" s="21"/>
      <c r="E37" s="14"/>
      <c r="F37" s="22"/>
      <c r="G37" s="14"/>
      <c r="H37" s="22"/>
      <c r="I37" s="14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7"/>
      <c r="FD37" s="107"/>
      <c r="FE37" s="107"/>
      <c r="FF37" s="107"/>
      <c r="FG37" s="107"/>
      <c r="FH37" s="107"/>
      <c r="FI37" s="107"/>
      <c r="FJ37" s="107"/>
      <c r="FK37" s="107"/>
      <c r="FL37" s="107"/>
      <c r="FM37" s="107"/>
      <c r="FN37" s="107"/>
      <c r="FO37" s="107"/>
      <c r="FP37" s="107"/>
      <c r="FQ37" s="107"/>
      <c r="FR37" s="107"/>
      <c r="FS37" s="107"/>
      <c r="FT37" s="107"/>
      <c r="FU37" s="107"/>
      <c r="FV37" s="107"/>
      <c r="FW37" s="107"/>
      <c r="FX37" s="107"/>
      <c r="FY37" s="107"/>
      <c r="FZ37" s="107"/>
      <c r="GA37" s="107"/>
      <c r="GB37" s="107"/>
      <c r="GC37" s="107"/>
      <c r="GD37" s="107"/>
      <c r="GE37" s="107"/>
      <c r="GF37" s="107"/>
      <c r="GG37" s="107"/>
      <c r="GH37" s="107"/>
      <c r="GI37" s="107"/>
      <c r="GJ37" s="107"/>
      <c r="GK37" s="107"/>
      <c r="GL37" s="107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7"/>
      <c r="HV37" s="107"/>
      <c r="HW37" s="107"/>
      <c r="HX37" s="107"/>
      <c r="HY37" s="107"/>
      <c r="HZ37" s="107"/>
      <c r="IA37" s="107"/>
      <c r="IB37" s="107"/>
      <c r="IC37" s="107"/>
      <c r="ID37" s="107"/>
      <c r="IE37" s="107"/>
      <c r="IF37" s="107"/>
      <c r="IG37" s="107"/>
      <c r="IH37" s="107"/>
    </row>
    <row r="38" spans="1:242" s="4" customFormat="1" x14ac:dyDescent="0.25">
      <c r="A38" s="15"/>
      <c r="B38" s="174" t="s">
        <v>105</v>
      </c>
      <c r="C38" s="174"/>
      <c r="D38" s="174"/>
      <c r="F38" s="167"/>
      <c r="G38" s="167"/>
      <c r="H38" s="167"/>
      <c r="I38" s="14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  <c r="ID38" s="107"/>
      <c r="IE38" s="107"/>
      <c r="IF38" s="107"/>
      <c r="IG38" s="107"/>
      <c r="IH38" s="107"/>
    </row>
    <row r="39" spans="1:242" s="4" customFormat="1" x14ac:dyDescent="0.25">
      <c r="A39" s="29" t="s">
        <v>10</v>
      </c>
      <c r="B39" s="71" t="s">
        <v>27</v>
      </c>
      <c r="C39" s="71" t="s">
        <v>28</v>
      </c>
      <c r="D39" s="71" t="s">
        <v>42</v>
      </c>
      <c r="F39" s="93"/>
      <c r="G39" s="93"/>
      <c r="H39" s="93"/>
      <c r="I39" s="35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  <c r="GK39" s="107"/>
      <c r="GL39" s="107"/>
      <c r="GM39" s="107"/>
      <c r="GN39" s="107"/>
      <c r="GO39" s="107"/>
      <c r="GP39" s="107"/>
      <c r="GQ39" s="107"/>
      <c r="GR39" s="107"/>
      <c r="GS39" s="107"/>
      <c r="GT39" s="107"/>
      <c r="GU39" s="107"/>
      <c r="GV39" s="107"/>
      <c r="GW39" s="107"/>
      <c r="GX39" s="107"/>
      <c r="GY39" s="107"/>
      <c r="GZ39" s="107"/>
      <c r="HA39" s="107"/>
      <c r="HB39" s="107"/>
      <c r="HC39" s="107"/>
      <c r="HD39" s="107"/>
      <c r="HE39" s="107"/>
      <c r="HF39" s="107"/>
      <c r="HG39" s="107"/>
      <c r="HH39" s="107"/>
      <c r="HI39" s="107"/>
      <c r="HJ39" s="107"/>
      <c r="HK39" s="107"/>
      <c r="HL39" s="107"/>
      <c r="HM39" s="107"/>
      <c r="HN39" s="107"/>
      <c r="HO39" s="107"/>
      <c r="HP39" s="107"/>
      <c r="HQ39" s="107"/>
      <c r="HR39" s="107"/>
      <c r="HS39" s="107"/>
      <c r="HT39" s="107"/>
      <c r="HU39" s="107"/>
      <c r="HV39" s="107"/>
      <c r="HW39" s="107"/>
      <c r="HX39" s="107"/>
      <c r="HY39" s="107"/>
      <c r="HZ39" s="107"/>
      <c r="IA39" s="107"/>
      <c r="IB39" s="107"/>
      <c r="IC39" s="107"/>
      <c r="ID39" s="107"/>
      <c r="IE39" s="107"/>
      <c r="IF39" s="107"/>
      <c r="IG39" s="107"/>
      <c r="IH39" s="107"/>
    </row>
    <row r="40" spans="1:242" x14ac:dyDescent="0.25">
      <c r="A40" s="30" t="s">
        <v>0</v>
      </c>
      <c r="B40" s="72">
        <f>C35</f>
        <v>1505477.6628920324</v>
      </c>
      <c r="C40" s="73">
        <f>E35+SUM(C5:C10)</f>
        <v>2535813.952910623</v>
      </c>
      <c r="D40" s="72">
        <f>B40+C40</f>
        <v>4041291.6158026555</v>
      </c>
      <c r="F40" s="94"/>
      <c r="G40" s="95"/>
      <c r="H40" s="94"/>
      <c r="I40" s="6"/>
    </row>
    <row r="41" spans="1:242" x14ac:dyDescent="0.25">
      <c r="A41" s="30" t="s">
        <v>9</v>
      </c>
      <c r="B41" s="72">
        <f>C36</f>
        <v>1856062.0786150405</v>
      </c>
      <c r="C41" s="73">
        <f>E36+SUM(C5:C10)*1.25</f>
        <v>3128052.4411382787</v>
      </c>
      <c r="D41" s="72">
        <f t="shared" ref="D41:D50" si="0">B41+C41</f>
        <v>4984114.5197533192</v>
      </c>
      <c r="F41" s="94"/>
      <c r="G41" s="95"/>
      <c r="H41" s="94"/>
      <c r="I41" s="6"/>
    </row>
    <row r="42" spans="1:242" x14ac:dyDescent="0.25">
      <c r="A42" s="30"/>
      <c r="B42" s="72"/>
      <c r="C42" s="73"/>
      <c r="D42" s="72">
        <f t="shared" si="0"/>
        <v>0</v>
      </c>
      <c r="F42" s="94"/>
      <c r="G42" s="95"/>
      <c r="H42" s="94"/>
      <c r="I42" s="6"/>
    </row>
    <row r="43" spans="1:242" x14ac:dyDescent="0.25">
      <c r="A43" s="31" t="s">
        <v>4</v>
      </c>
      <c r="B43" s="72">
        <v>709318.11536900001</v>
      </c>
      <c r="C43" s="72">
        <v>1310438.2814112986</v>
      </c>
      <c r="D43" s="72">
        <f t="shared" si="0"/>
        <v>2019756.3967802986</v>
      </c>
      <c r="F43" s="94"/>
      <c r="G43" s="94"/>
      <c r="H43" s="94"/>
      <c r="I43" s="6"/>
    </row>
    <row r="44" spans="1:242" x14ac:dyDescent="0.25">
      <c r="A44" s="31" t="s">
        <v>9</v>
      </c>
      <c r="B44" s="72">
        <v>886647.64421125001</v>
      </c>
      <c r="C44" s="72">
        <v>1574316.601764123</v>
      </c>
      <c r="D44" s="72">
        <f t="shared" si="0"/>
        <v>2460964.2459753728</v>
      </c>
      <c r="F44" s="94"/>
      <c r="G44" s="94"/>
      <c r="H44" s="94"/>
      <c r="I44" s="6"/>
    </row>
    <row r="45" spans="1:242" x14ac:dyDescent="0.25">
      <c r="A45" s="31"/>
      <c r="B45" s="72"/>
      <c r="C45" s="72"/>
      <c r="D45" s="72">
        <f t="shared" si="0"/>
        <v>0</v>
      </c>
      <c r="F45" s="94"/>
      <c r="G45" s="94"/>
      <c r="H45" s="94"/>
      <c r="I45" s="6"/>
    </row>
    <row r="46" spans="1:242" x14ac:dyDescent="0.25">
      <c r="A46" s="31" t="s">
        <v>8</v>
      </c>
      <c r="B46" s="72">
        <v>247815.42950000003</v>
      </c>
      <c r="C46" s="73">
        <v>431363.69355950004</v>
      </c>
      <c r="D46" s="72">
        <f t="shared" si="0"/>
        <v>679179.12305950001</v>
      </c>
      <c r="F46" s="94"/>
      <c r="G46" s="95"/>
      <c r="H46" s="94"/>
      <c r="I46" s="6"/>
    </row>
    <row r="47" spans="1:242" x14ac:dyDescent="0.25">
      <c r="A47" s="31" t="s">
        <v>9</v>
      </c>
      <c r="B47" s="72">
        <v>309769.28687500005</v>
      </c>
      <c r="C47" s="73">
        <v>528775.86694937502</v>
      </c>
      <c r="D47" s="72">
        <f t="shared" si="0"/>
        <v>838545.15382437501</v>
      </c>
      <c r="F47" s="94"/>
      <c r="G47" s="95"/>
      <c r="H47" s="94"/>
      <c r="I47" s="6"/>
    </row>
    <row r="48" spans="1:242" x14ac:dyDescent="0.25">
      <c r="A48" s="31"/>
      <c r="B48" s="72"/>
      <c r="C48" s="73"/>
      <c r="D48" s="72">
        <f t="shared" si="0"/>
        <v>0</v>
      </c>
      <c r="F48" s="94"/>
      <c r="G48" s="95"/>
      <c r="H48" s="94"/>
      <c r="I48" s="6"/>
    </row>
    <row r="49" spans="1:9" x14ac:dyDescent="0.25">
      <c r="A49" s="31" t="s">
        <v>41</v>
      </c>
      <c r="B49" s="74">
        <f>B40+B43+B46</f>
        <v>2462611.2077610325</v>
      </c>
      <c r="C49" s="74">
        <f>C40+C43+C46</f>
        <v>4277615.9278814215</v>
      </c>
      <c r="D49" s="72">
        <f t="shared" si="0"/>
        <v>6740227.135642454</v>
      </c>
      <c r="F49" s="96"/>
      <c r="G49" s="96"/>
      <c r="H49" s="94"/>
      <c r="I49" s="38"/>
    </row>
    <row r="50" spans="1:9" x14ac:dyDescent="0.25">
      <c r="A50" s="31" t="s">
        <v>9</v>
      </c>
      <c r="B50" s="75">
        <f>B41+B44+B47</f>
        <v>3052479.0097012906</v>
      </c>
      <c r="C50" s="75">
        <f>C41+C44+C47</f>
        <v>5231144.9098517764</v>
      </c>
      <c r="D50" s="76">
        <f t="shared" si="0"/>
        <v>8283623.9195530675</v>
      </c>
      <c r="E50" s="39"/>
      <c r="F50" s="97"/>
      <c r="G50" s="97"/>
      <c r="H50" s="98"/>
      <c r="I50" s="38"/>
    </row>
    <row r="51" spans="1:9" x14ac:dyDescent="0.25">
      <c r="B51" s="77"/>
      <c r="C51" s="6"/>
      <c r="D51" s="36"/>
      <c r="E51" s="6"/>
      <c r="I51" s="6"/>
    </row>
    <row r="52" spans="1:9" x14ac:dyDescent="0.25">
      <c r="A52" s="31"/>
      <c r="B52" s="167"/>
      <c r="C52" s="167"/>
      <c r="D52" s="167"/>
      <c r="E52" s="6"/>
      <c r="F52" s="36"/>
      <c r="G52" s="6"/>
      <c r="H52" s="36"/>
      <c r="I52" s="6"/>
    </row>
    <row r="53" spans="1:9" x14ac:dyDescent="0.25">
      <c r="A53" s="29"/>
      <c r="B53" s="93"/>
      <c r="C53" s="93"/>
      <c r="D53" s="93"/>
      <c r="E53" s="6"/>
      <c r="F53" s="36"/>
      <c r="G53" s="6"/>
      <c r="H53" s="36"/>
      <c r="I53" s="6"/>
    </row>
    <row r="54" spans="1:9" x14ac:dyDescent="0.25">
      <c r="A54" s="30"/>
      <c r="B54" s="94"/>
      <c r="C54" s="95"/>
      <c r="D54" s="94"/>
      <c r="E54" s="6"/>
      <c r="F54" s="36"/>
      <c r="G54" s="6"/>
      <c r="H54" s="36"/>
      <c r="I54" s="6"/>
    </row>
    <row r="55" spans="1:9" x14ac:dyDescent="0.25">
      <c r="A55" s="30"/>
      <c r="B55" s="94"/>
      <c r="C55" s="95"/>
      <c r="D55" s="94"/>
      <c r="E55" s="6"/>
      <c r="F55" s="36"/>
      <c r="G55" s="6"/>
      <c r="H55" s="36"/>
      <c r="I55" s="6"/>
    </row>
    <row r="56" spans="1:9" x14ac:dyDescent="0.25">
      <c r="A56" s="30"/>
      <c r="B56" s="94"/>
      <c r="C56" s="95"/>
      <c r="D56" s="94"/>
      <c r="E56" s="6"/>
      <c r="F56" s="36"/>
      <c r="G56" s="6"/>
      <c r="H56" s="36"/>
      <c r="I56" s="6"/>
    </row>
    <row r="57" spans="1:9" x14ac:dyDescent="0.25">
      <c r="A57" s="31"/>
      <c r="B57" s="94"/>
      <c r="C57" s="94"/>
      <c r="D57" s="94"/>
      <c r="E57" s="6"/>
      <c r="F57" s="36"/>
      <c r="G57" s="6"/>
      <c r="H57" s="36"/>
      <c r="I57" s="6"/>
    </row>
    <row r="58" spans="1:9" x14ac:dyDescent="0.25">
      <c r="A58" s="31"/>
      <c r="B58" s="94"/>
      <c r="C58" s="94"/>
      <c r="D58" s="94"/>
    </row>
    <row r="59" spans="1:9" x14ac:dyDescent="0.25">
      <c r="A59" s="31"/>
      <c r="B59" s="94"/>
      <c r="C59" s="94"/>
      <c r="D59" s="94"/>
    </row>
    <row r="60" spans="1:9" x14ac:dyDescent="0.25">
      <c r="A60" s="31"/>
      <c r="B60" s="94"/>
      <c r="C60" s="95"/>
      <c r="D60" s="94"/>
    </row>
    <row r="61" spans="1:9" x14ac:dyDescent="0.25">
      <c r="A61" s="31"/>
      <c r="B61" s="94"/>
      <c r="C61" s="95"/>
      <c r="D61" s="94"/>
    </row>
    <row r="62" spans="1:9" x14ac:dyDescent="0.25">
      <c r="A62" s="31"/>
      <c r="B62" s="94"/>
      <c r="C62" s="95"/>
      <c r="D62" s="94"/>
    </row>
    <row r="63" spans="1:9" x14ac:dyDescent="0.25">
      <c r="A63" s="31"/>
      <c r="B63" s="96"/>
      <c r="C63" s="96"/>
      <c r="D63" s="94"/>
    </row>
    <row r="64" spans="1:9" x14ac:dyDescent="0.25">
      <c r="A64" s="31"/>
      <c r="B64" s="97"/>
      <c r="C64" s="97"/>
      <c r="D64" s="98"/>
    </row>
    <row r="66" spans="2:2" x14ac:dyDescent="0.25">
      <c r="B66" s="108"/>
    </row>
    <row r="67" spans="2:2" x14ac:dyDescent="0.25">
      <c r="B67" s="108"/>
    </row>
    <row r="68" spans="2:2" x14ac:dyDescent="0.25">
      <c r="B68" s="108"/>
    </row>
    <row r="69" spans="2:2" x14ac:dyDescent="0.25">
      <c r="B69" s="108"/>
    </row>
    <row r="70" spans="2:2" x14ac:dyDescent="0.25">
      <c r="B70" s="108"/>
    </row>
  </sheetData>
  <mergeCells count="11">
    <mergeCell ref="B2:C2"/>
    <mergeCell ref="D2:E2"/>
    <mergeCell ref="F2:G2"/>
    <mergeCell ref="H2:I2"/>
    <mergeCell ref="B52:D52"/>
    <mergeCell ref="B3:C3"/>
    <mergeCell ref="D3:E3"/>
    <mergeCell ref="F3:G3"/>
    <mergeCell ref="H3:I3"/>
    <mergeCell ref="B38:D38"/>
    <mergeCell ref="F38:H38"/>
  </mergeCells>
  <pageMargins left="0.27" right="0.24" top="0.25" bottom="0.25" header="0.5" footer="0.32"/>
  <pageSetup paperSize="5" scale="3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X68"/>
  <sheetViews>
    <sheetView tabSelected="1" zoomScale="80" zoomScaleNormal="80" workbookViewId="0">
      <pane xSplit="1" ySplit="2" topLeftCell="B6" activePane="bottomRight" state="frozen"/>
      <selection activeCell="B49" sqref="B49"/>
      <selection pane="topRight" activeCell="B49" sqref="B49"/>
      <selection pane="bottomLeft" activeCell="B49" sqref="B49"/>
      <selection pane="bottomRight" activeCell="K21" sqref="K21"/>
    </sheetView>
  </sheetViews>
  <sheetFormatPr defaultColWidth="9.140625" defaultRowHeight="15.75" x14ac:dyDescent="0.25"/>
  <cols>
    <col min="1" max="1" width="40.85546875" style="3" customWidth="1"/>
    <col min="2" max="2" width="15" style="7" customWidth="1"/>
    <col min="3" max="4" width="17.7109375" style="3" customWidth="1"/>
    <col min="5" max="5" width="14.85546875" style="3" customWidth="1"/>
    <col min="6" max="6" width="19.140625" style="3" customWidth="1"/>
    <col min="7" max="232" width="9.140625" style="11"/>
    <col min="233" max="16384" width="9.140625" style="3"/>
  </cols>
  <sheetData>
    <row r="1" spans="1:232" ht="29.25" customHeight="1" thickBot="1" x14ac:dyDescent="0.3">
      <c r="A1" s="128"/>
      <c r="B1" s="178" t="s">
        <v>117</v>
      </c>
      <c r="C1" s="179"/>
      <c r="D1" s="179"/>
      <c r="E1" s="179"/>
      <c r="F1" s="180"/>
      <c r="G1" s="123"/>
    </row>
    <row r="2" spans="1:232" s="5" customFormat="1" ht="18.75" x14ac:dyDescent="0.25">
      <c r="A2" s="129"/>
      <c r="B2" s="159" t="s">
        <v>116</v>
      </c>
      <c r="C2" s="160" t="s">
        <v>30</v>
      </c>
      <c r="D2" s="132" t="s">
        <v>4</v>
      </c>
      <c r="E2" s="131" t="s">
        <v>106</v>
      </c>
      <c r="F2" s="131" t="s">
        <v>1</v>
      </c>
      <c r="G2" s="123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105"/>
      <c r="FJ2" s="105"/>
      <c r="FK2" s="105"/>
      <c r="FL2" s="105"/>
      <c r="FM2" s="105"/>
      <c r="FN2" s="105"/>
      <c r="FO2" s="105"/>
      <c r="FP2" s="105"/>
      <c r="FQ2" s="105"/>
      <c r="FR2" s="105"/>
      <c r="FS2" s="105"/>
      <c r="FT2" s="105"/>
      <c r="FU2" s="105"/>
      <c r="FV2" s="105"/>
      <c r="FW2" s="105"/>
      <c r="FX2" s="105"/>
      <c r="FY2" s="105"/>
      <c r="FZ2" s="105"/>
      <c r="GA2" s="105"/>
      <c r="GB2" s="105"/>
      <c r="GC2" s="105"/>
      <c r="GD2" s="105"/>
      <c r="GE2" s="105"/>
      <c r="GF2" s="105"/>
      <c r="GG2" s="105"/>
      <c r="GH2" s="105"/>
      <c r="GI2" s="105"/>
      <c r="GJ2" s="105"/>
      <c r="GK2" s="105"/>
      <c r="GL2" s="105"/>
      <c r="GM2" s="105"/>
      <c r="GN2" s="105"/>
      <c r="GO2" s="105"/>
      <c r="GP2" s="105"/>
      <c r="GQ2" s="105"/>
      <c r="GR2" s="105"/>
      <c r="GS2" s="105"/>
      <c r="GT2" s="105"/>
      <c r="GU2" s="105"/>
      <c r="GV2" s="105"/>
      <c r="GW2" s="105"/>
      <c r="GX2" s="105"/>
      <c r="GY2" s="105"/>
      <c r="GZ2" s="105"/>
      <c r="HA2" s="105"/>
      <c r="HB2" s="105"/>
      <c r="HC2" s="105"/>
      <c r="HD2" s="105"/>
      <c r="HE2" s="105"/>
      <c r="HF2" s="105"/>
      <c r="HG2" s="105"/>
      <c r="HH2" s="105"/>
      <c r="HI2" s="105"/>
      <c r="HJ2" s="105"/>
      <c r="HK2" s="105"/>
      <c r="HL2" s="105"/>
      <c r="HM2" s="105"/>
      <c r="HN2" s="105"/>
      <c r="HO2" s="105"/>
      <c r="HP2" s="105"/>
    </row>
    <row r="3" spans="1:232" s="5" customFormat="1" ht="19.5" thickBot="1" x14ac:dyDescent="0.3">
      <c r="A3" s="8"/>
      <c r="B3" s="130" t="s">
        <v>2</v>
      </c>
      <c r="C3" s="175" t="s">
        <v>3</v>
      </c>
      <c r="D3" s="176"/>
      <c r="E3" s="177"/>
      <c r="F3" s="124"/>
      <c r="G3" s="123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5"/>
      <c r="GD3" s="105"/>
      <c r="GE3" s="105"/>
      <c r="GF3" s="105"/>
      <c r="GG3" s="105"/>
      <c r="GH3" s="105"/>
      <c r="GI3" s="105"/>
      <c r="GJ3" s="105"/>
      <c r="GK3" s="105"/>
      <c r="GL3" s="105"/>
      <c r="GM3" s="105"/>
      <c r="GN3" s="105"/>
      <c r="GO3" s="105"/>
      <c r="GP3" s="105"/>
      <c r="GQ3" s="105"/>
      <c r="GR3" s="105"/>
      <c r="GS3" s="105"/>
      <c r="GT3" s="105"/>
      <c r="GU3" s="105"/>
      <c r="GV3" s="105"/>
      <c r="GW3" s="105"/>
      <c r="GX3" s="105"/>
      <c r="GY3" s="105"/>
      <c r="GZ3" s="105"/>
      <c r="HA3" s="105"/>
      <c r="HB3" s="105"/>
      <c r="HC3" s="105"/>
      <c r="HD3" s="105"/>
      <c r="HE3" s="105"/>
      <c r="HF3" s="105"/>
      <c r="HG3" s="105"/>
      <c r="HH3" s="105"/>
      <c r="HI3" s="105"/>
      <c r="HJ3" s="105"/>
      <c r="HK3" s="105"/>
      <c r="HL3" s="105"/>
      <c r="HM3" s="105"/>
      <c r="HN3" s="105"/>
      <c r="HO3" s="105"/>
      <c r="HP3" s="105"/>
    </row>
    <row r="4" spans="1:232" s="10" customFormat="1" ht="21" x14ac:dyDescent="0.25">
      <c r="A4" s="125" t="s">
        <v>36</v>
      </c>
      <c r="B4" s="148">
        <v>1.7000000000000001E-2</v>
      </c>
      <c r="C4" s="157">
        <f>B4*'Supposal Inputs'!$B$3</f>
        <v>302600</v>
      </c>
      <c r="D4" s="158">
        <f>B4*'Supposal Inputs'!$B$4</f>
        <v>244019.98900000003</v>
      </c>
      <c r="E4" s="158">
        <f>B4*'Supposal Inputs'!$B$5</f>
        <v>97982.458000000013</v>
      </c>
      <c r="F4" s="181">
        <f>C4+D4+E4</f>
        <v>644602.44700000004</v>
      </c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</row>
    <row r="5" spans="1:232" ht="21" x14ac:dyDescent="0.25">
      <c r="A5" s="125" t="s">
        <v>37</v>
      </c>
      <c r="B5" s="148">
        <v>1.7000000000000001E-2</v>
      </c>
      <c r="C5" s="157">
        <f>B5*'Supposal Inputs'!$B$9</f>
        <v>228878.51400000002</v>
      </c>
      <c r="D5" s="158">
        <f>B5*'Supposal Inputs'!$B$10</f>
        <v>40650.383000000002</v>
      </c>
      <c r="E5" s="158">
        <f>B5*'Supposal Inputs'!$B$11</f>
        <v>2637.431</v>
      </c>
      <c r="F5" s="182">
        <f>C5+D5+E5</f>
        <v>272166.32799999998</v>
      </c>
      <c r="HQ5" s="3"/>
      <c r="HR5" s="3"/>
      <c r="HS5" s="3"/>
      <c r="HT5" s="3"/>
      <c r="HU5" s="3"/>
      <c r="HV5" s="3"/>
      <c r="HW5" s="3"/>
      <c r="HX5" s="3"/>
    </row>
    <row r="6" spans="1:232" s="103" customFormat="1" ht="21" x14ac:dyDescent="0.25">
      <c r="A6" s="125" t="s">
        <v>91</v>
      </c>
      <c r="B6" s="148"/>
      <c r="C6" s="157"/>
      <c r="D6" s="158"/>
      <c r="E6" s="158"/>
      <c r="F6" s="18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</row>
    <row r="7" spans="1:232" s="103" customFormat="1" ht="21" x14ac:dyDescent="0.25">
      <c r="A7" s="125" t="s">
        <v>92</v>
      </c>
      <c r="B7" s="148"/>
      <c r="C7" s="157"/>
      <c r="D7" s="158"/>
      <c r="E7" s="158"/>
      <c r="F7" s="183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</row>
    <row r="8" spans="1:232" ht="21" x14ac:dyDescent="0.25">
      <c r="A8" s="125" t="s">
        <v>38</v>
      </c>
      <c r="B8" s="149">
        <v>1</v>
      </c>
      <c r="C8" s="157">
        <f>B8*'Supposal Inputs'!$B$3*'Supposal Inputs'!$C$3*'Supposal Inputs'!$D$3</f>
        <v>365619.3024403649</v>
      </c>
      <c r="D8" s="158">
        <f>B8*'Supposal Inputs'!$B$4*'Supposal Inputs'!$C$4*'Supposal Inputs'!$D$4</f>
        <v>246273.58536900001</v>
      </c>
      <c r="E8" s="158">
        <f>B8*'Supposal Inputs'!$B$5*'Supposal Inputs'!$C$5*'Supposal Inputs'!$D$5</f>
        <v>103746.132</v>
      </c>
      <c r="F8" s="182">
        <f t="shared" ref="F8:F9" si="0">C8+D8+E8</f>
        <v>715639.01980936492</v>
      </c>
      <c r="HQ8" s="3"/>
      <c r="HR8" s="3"/>
      <c r="HS8" s="3"/>
      <c r="HT8" s="3"/>
      <c r="HU8" s="3"/>
      <c r="HV8" s="3"/>
      <c r="HW8" s="3"/>
      <c r="HX8" s="3"/>
    </row>
    <row r="9" spans="1:232" ht="21" x14ac:dyDescent="0.25">
      <c r="A9" s="125" t="s">
        <v>39</v>
      </c>
      <c r="B9" s="149">
        <v>1</v>
      </c>
      <c r="C9" s="157">
        <f>B9*'Supposal Inputs'!$B$9*'Supposal Inputs'!$C$9*'Supposal Inputs'!$D$9</f>
        <v>338268.98024999996</v>
      </c>
      <c r="D9" s="158">
        <v>0</v>
      </c>
      <c r="E9" s="158">
        <v>0</v>
      </c>
      <c r="F9" s="182">
        <f t="shared" si="0"/>
        <v>338268.98024999996</v>
      </c>
      <c r="HQ9" s="3"/>
      <c r="HR9" s="3"/>
      <c r="HS9" s="3"/>
      <c r="HT9" s="3"/>
      <c r="HU9" s="3"/>
      <c r="HV9" s="3"/>
      <c r="HW9" s="3"/>
      <c r="HX9" s="3"/>
    </row>
    <row r="10" spans="1:232" ht="21" x14ac:dyDescent="0.25">
      <c r="A10" s="125" t="s">
        <v>7</v>
      </c>
      <c r="B10" s="149"/>
      <c r="C10" s="157"/>
      <c r="D10" s="158"/>
      <c r="E10" s="158"/>
      <c r="F10" s="183"/>
      <c r="HQ10" s="3"/>
      <c r="HR10" s="3"/>
      <c r="HS10" s="3"/>
      <c r="HT10" s="3"/>
      <c r="HU10" s="3"/>
      <c r="HV10" s="3"/>
      <c r="HW10" s="3"/>
      <c r="HX10" s="3"/>
    </row>
    <row r="11" spans="1:232" ht="21" x14ac:dyDescent="0.25">
      <c r="A11" s="125" t="s">
        <v>40</v>
      </c>
      <c r="B11" s="150"/>
      <c r="C11" s="157"/>
      <c r="D11" s="158"/>
      <c r="E11" s="158"/>
      <c r="F11" s="183"/>
      <c r="HQ11" s="3"/>
      <c r="HR11" s="3"/>
      <c r="HS11" s="3"/>
      <c r="HT11" s="3"/>
      <c r="HU11" s="3"/>
      <c r="HV11" s="3"/>
      <c r="HW11" s="3"/>
      <c r="HX11" s="3"/>
    </row>
    <row r="12" spans="1:232" ht="21" x14ac:dyDescent="0.25">
      <c r="A12" s="125" t="s">
        <v>89</v>
      </c>
      <c r="B12" s="151"/>
      <c r="C12" s="157"/>
      <c r="D12" s="158"/>
      <c r="E12" s="158"/>
      <c r="F12" s="183"/>
      <c r="HQ12" s="3"/>
      <c r="HR12" s="3"/>
      <c r="HS12" s="3"/>
      <c r="HT12" s="3"/>
      <c r="HU12" s="3"/>
      <c r="HV12" s="3"/>
      <c r="HW12" s="3"/>
      <c r="HX12" s="3"/>
    </row>
    <row r="13" spans="1:232" ht="21" x14ac:dyDescent="0.25">
      <c r="A13" s="125" t="s">
        <v>88</v>
      </c>
      <c r="B13" s="151"/>
      <c r="C13" s="157"/>
      <c r="D13" s="158"/>
      <c r="E13" s="158"/>
      <c r="F13" s="183"/>
      <c r="HQ13" s="3"/>
      <c r="HR13" s="3"/>
      <c r="HS13" s="3"/>
      <c r="HT13" s="3"/>
      <c r="HU13" s="3"/>
      <c r="HV13" s="3"/>
      <c r="HW13" s="3"/>
      <c r="HX13" s="3"/>
    </row>
    <row r="14" spans="1:232" ht="21" x14ac:dyDescent="0.25">
      <c r="A14" s="125" t="s">
        <v>90</v>
      </c>
      <c r="B14" s="151"/>
      <c r="C14" s="157"/>
      <c r="D14" s="158"/>
      <c r="E14" s="158"/>
      <c r="F14" s="183"/>
      <c r="HQ14" s="3"/>
      <c r="HR14" s="3"/>
      <c r="HS14" s="3"/>
      <c r="HT14" s="3"/>
      <c r="HU14" s="3"/>
      <c r="HV14" s="3"/>
      <c r="HW14" s="3"/>
      <c r="HX14" s="3"/>
    </row>
    <row r="15" spans="1:232" ht="21" x14ac:dyDescent="0.25">
      <c r="A15" s="125" t="s">
        <v>69</v>
      </c>
      <c r="B15" s="152">
        <v>0</v>
      </c>
      <c r="C15" s="157">
        <f>B15*('Supposal Inputs'!$B$19*1.0175*0.01)</f>
        <v>0</v>
      </c>
      <c r="D15" s="158"/>
      <c r="E15" s="158"/>
      <c r="F15" s="183"/>
      <c r="HQ15" s="3"/>
      <c r="HR15" s="3"/>
      <c r="HS15" s="3"/>
      <c r="HT15" s="3"/>
      <c r="HU15" s="3"/>
      <c r="HV15" s="3"/>
      <c r="HW15" s="3"/>
      <c r="HX15" s="3"/>
    </row>
    <row r="16" spans="1:232" ht="21" x14ac:dyDescent="0.25">
      <c r="A16" s="125" t="s">
        <v>70</v>
      </c>
      <c r="B16" s="152">
        <v>0</v>
      </c>
      <c r="C16" s="157">
        <f>B16*(('Supposal Inputs'!$B$19*1.0175*0.01)*0.6)</f>
        <v>0</v>
      </c>
      <c r="D16" s="158"/>
      <c r="E16" s="158"/>
      <c r="F16" s="183"/>
      <c r="HQ16" s="3"/>
      <c r="HR16" s="3"/>
      <c r="HS16" s="3"/>
      <c r="HT16" s="3"/>
      <c r="HU16" s="3"/>
      <c r="HV16" s="3"/>
      <c r="HW16" s="3"/>
      <c r="HX16" s="3"/>
    </row>
    <row r="17" spans="1:232" ht="21" x14ac:dyDescent="0.25">
      <c r="A17" s="125" t="s">
        <v>71</v>
      </c>
      <c r="B17" s="152"/>
      <c r="C17" s="157">
        <f>B17*('Supposal Inputs'!$B$52+'Supposal Inputs'!$B$53)</f>
        <v>0</v>
      </c>
      <c r="D17" s="158"/>
      <c r="E17" s="158"/>
      <c r="F17" s="183"/>
      <c r="HQ17" s="3"/>
      <c r="HR17" s="3"/>
      <c r="HS17" s="3"/>
      <c r="HT17" s="3"/>
      <c r="HU17" s="3"/>
      <c r="HV17" s="3"/>
      <c r="HW17" s="3"/>
      <c r="HX17" s="3"/>
    </row>
    <row r="18" spans="1:232" ht="21" x14ac:dyDescent="0.25">
      <c r="A18" s="125" t="s">
        <v>23</v>
      </c>
      <c r="B18" s="149"/>
      <c r="C18" s="157"/>
      <c r="D18" s="158"/>
      <c r="E18" s="158"/>
      <c r="F18" s="183"/>
      <c r="HQ18" s="3"/>
      <c r="HR18" s="3"/>
      <c r="HS18" s="3"/>
      <c r="HT18" s="3"/>
      <c r="HU18" s="3"/>
      <c r="HV18" s="3"/>
      <c r="HW18" s="3"/>
      <c r="HX18" s="3"/>
    </row>
    <row r="19" spans="1:232" ht="21" x14ac:dyDescent="0.25">
      <c r="A19" s="125" t="s">
        <v>64</v>
      </c>
      <c r="B19" s="149"/>
      <c r="C19" s="157"/>
      <c r="D19" s="158"/>
      <c r="E19" s="158"/>
      <c r="F19" s="183"/>
      <c r="HQ19" s="3"/>
      <c r="HR19" s="3"/>
      <c r="HS19" s="3"/>
      <c r="HT19" s="3"/>
      <c r="HU19" s="3"/>
      <c r="HV19" s="3"/>
      <c r="HW19" s="3"/>
      <c r="HX19" s="3"/>
    </row>
    <row r="20" spans="1:232" s="103" customFormat="1" ht="21" x14ac:dyDescent="0.25">
      <c r="A20" s="125" t="s">
        <v>97</v>
      </c>
      <c r="B20" s="153"/>
      <c r="C20" s="157"/>
      <c r="D20" s="158"/>
      <c r="E20" s="158"/>
      <c r="F20" s="18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</row>
    <row r="21" spans="1:232" s="103" customFormat="1" ht="21" x14ac:dyDescent="0.25">
      <c r="A21" s="125" t="s">
        <v>98</v>
      </c>
      <c r="B21" s="149"/>
      <c r="C21" s="157"/>
      <c r="D21" s="158"/>
      <c r="E21" s="158"/>
      <c r="F21" s="183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</row>
    <row r="22" spans="1:232" s="103" customFormat="1" ht="21" x14ac:dyDescent="0.25">
      <c r="A22" s="125" t="s">
        <v>93</v>
      </c>
      <c r="B22" s="149"/>
      <c r="C22" s="157"/>
      <c r="D22" s="158"/>
      <c r="E22" s="158"/>
      <c r="F22" s="183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</row>
    <row r="23" spans="1:232" s="103" customFormat="1" ht="21" x14ac:dyDescent="0.25">
      <c r="A23" s="125" t="s">
        <v>94</v>
      </c>
      <c r="B23" s="149"/>
      <c r="C23" s="157"/>
      <c r="D23" s="158"/>
      <c r="E23" s="158"/>
      <c r="F23" s="183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</row>
    <row r="24" spans="1:232" ht="21" x14ac:dyDescent="0.25">
      <c r="A24" s="125" t="s">
        <v>15</v>
      </c>
      <c r="B24" s="149">
        <v>7.4</v>
      </c>
      <c r="C24" s="157">
        <f>B24*'Supposal Inputs'!$B$36</f>
        <v>310800</v>
      </c>
      <c r="D24" s="158">
        <f>B24*'Supposal Inputs'!$B$38</f>
        <v>610500</v>
      </c>
      <c r="E24" s="158">
        <f>B24*'Supposal Inputs'!$B$39</f>
        <v>99900</v>
      </c>
      <c r="F24" s="182">
        <f t="shared" ref="F24:F25" si="1">C24+D24+E24</f>
        <v>1021200</v>
      </c>
      <c r="HQ24" s="3"/>
      <c r="HR24" s="3"/>
      <c r="HS24" s="3"/>
      <c r="HT24" s="3"/>
      <c r="HU24" s="3"/>
      <c r="HV24" s="3"/>
      <c r="HW24" s="3"/>
      <c r="HX24" s="3"/>
    </row>
    <row r="25" spans="1:232" ht="21" x14ac:dyDescent="0.25">
      <c r="A25" s="125" t="s">
        <v>5</v>
      </c>
      <c r="B25" s="149">
        <v>7.4</v>
      </c>
      <c r="C25" s="157">
        <f>B25*'Supposal Inputs'!$B$37</f>
        <v>88800</v>
      </c>
      <c r="D25" s="158"/>
      <c r="E25" s="158"/>
      <c r="F25" s="182">
        <f t="shared" si="1"/>
        <v>88800</v>
      </c>
      <c r="HQ25" s="3"/>
      <c r="HR25" s="3"/>
      <c r="HS25" s="3"/>
      <c r="HT25" s="3"/>
      <c r="HU25" s="3"/>
      <c r="HV25" s="3"/>
      <c r="HW25" s="3"/>
      <c r="HX25" s="3"/>
    </row>
    <row r="26" spans="1:232" ht="21" x14ac:dyDescent="0.25">
      <c r="A26" s="125" t="s">
        <v>25</v>
      </c>
      <c r="B26" s="154"/>
      <c r="C26" s="157"/>
      <c r="D26" s="158"/>
      <c r="E26" s="158"/>
      <c r="F26" s="183"/>
      <c r="HQ26" s="3"/>
      <c r="HR26" s="3"/>
      <c r="HS26" s="3"/>
      <c r="HT26" s="3"/>
      <c r="HU26" s="3"/>
      <c r="HV26" s="3"/>
      <c r="HW26" s="3"/>
      <c r="HX26" s="3"/>
    </row>
    <row r="27" spans="1:232" ht="21" x14ac:dyDescent="0.25">
      <c r="A27" s="125"/>
      <c r="B27" s="155"/>
      <c r="C27" s="157"/>
      <c r="D27" s="158"/>
      <c r="E27" s="158"/>
      <c r="F27" s="146"/>
      <c r="HQ27" s="3"/>
      <c r="HR27" s="3"/>
      <c r="HS27" s="3"/>
      <c r="HT27" s="3"/>
      <c r="HU27" s="3"/>
      <c r="HV27" s="3"/>
      <c r="HW27" s="3"/>
      <c r="HX27" s="3"/>
    </row>
    <row r="28" spans="1:232" s="103" customFormat="1" ht="21" x14ac:dyDescent="0.25">
      <c r="A28" s="125" t="s">
        <v>13</v>
      </c>
      <c r="B28" s="155"/>
      <c r="C28" s="133">
        <f>B28*(312*'Supposal Inputs'!$B$26+101*'Supposal Inputs'!$B$27+96*'Supposal Inputs'!$B$28)</f>
        <v>0</v>
      </c>
      <c r="D28" s="114"/>
      <c r="E28" s="114"/>
      <c r="F28" s="14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</row>
    <row r="29" spans="1:232" ht="21" x14ac:dyDescent="0.25">
      <c r="A29" s="126" t="s">
        <v>21</v>
      </c>
      <c r="B29" s="153"/>
      <c r="C29" s="133"/>
      <c r="D29" s="114"/>
      <c r="E29" s="114"/>
      <c r="F29" s="146"/>
      <c r="HQ29" s="3"/>
      <c r="HR29" s="3"/>
      <c r="HS29" s="3"/>
      <c r="HT29" s="3"/>
      <c r="HU29" s="3"/>
      <c r="HV29" s="3"/>
      <c r="HW29" s="3"/>
      <c r="HX29" s="3"/>
    </row>
    <row r="30" spans="1:232" ht="31.5" x14ac:dyDescent="0.25">
      <c r="A30" s="127" t="s">
        <v>12</v>
      </c>
      <c r="B30" s="156"/>
      <c r="C30" s="133"/>
      <c r="D30" s="114"/>
      <c r="E30" s="114"/>
      <c r="F30" s="146"/>
      <c r="HQ30" s="3"/>
      <c r="HR30" s="3"/>
      <c r="HS30" s="3"/>
      <c r="HT30" s="3"/>
      <c r="HU30" s="3"/>
      <c r="HV30" s="3"/>
      <c r="HW30" s="3"/>
      <c r="HX30" s="3"/>
    </row>
    <row r="31" spans="1:232" x14ac:dyDescent="0.25">
      <c r="A31" s="125" t="s">
        <v>11</v>
      </c>
      <c r="B31" s="34"/>
      <c r="C31" s="133"/>
      <c r="D31" s="114"/>
      <c r="E31" s="114"/>
      <c r="F31" s="146"/>
      <c r="HQ31" s="3"/>
      <c r="HR31" s="3"/>
      <c r="HS31" s="3"/>
      <c r="HT31" s="3"/>
      <c r="HU31" s="3"/>
      <c r="HV31" s="3"/>
      <c r="HW31" s="3"/>
      <c r="HX31" s="3"/>
    </row>
    <row r="32" spans="1:232" ht="16.5" thickBot="1" x14ac:dyDescent="0.3">
      <c r="A32" s="127" t="s">
        <v>22</v>
      </c>
      <c r="B32" s="87"/>
      <c r="C32" s="134">
        <v>0</v>
      </c>
      <c r="D32" s="135"/>
      <c r="E32" s="135"/>
      <c r="F32" s="147"/>
      <c r="HQ32" s="3"/>
      <c r="HR32" s="3"/>
      <c r="HS32" s="3"/>
      <c r="HT32" s="3"/>
      <c r="HU32" s="3"/>
      <c r="HV32" s="3"/>
      <c r="HW32" s="3"/>
      <c r="HX32" s="3"/>
    </row>
    <row r="33" spans="1:232" ht="33.6" customHeight="1" thickBot="1" x14ac:dyDescent="0.3">
      <c r="A33" s="143" t="s">
        <v>1</v>
      </c>
      <c r="B33" s="136"/>
      <c r="C33" s="137">
        <f>SUM(C4:C32)</f>
        <v>1634966.7966903648</v>
      </c>
      <c r="D33" s="137">
        <f>SUM(D4:D32)</f>
        <v>1141443.9573690002</v>
      </c>
      <c r="E33" s="138">
        <f>SUM(E4:E32)</f>
        <v>304266.02100000001</v>
      </c>
      <c r="F33" s="145">
        <f>C33+D33+E33</f>
        <v>3080676.7750593652</v>
      </c>
      <c r="HQ33" s="3"/>
      <c r="HR33" s="3"/>
      <c r="HS33" s="3"/>
      <c r="HT33" s="3"/>
      <c r="HU33" s="3"/>
      <c r="HV33" s="3"/>
      <c r="HW33" s="3"/>
      <c r="HX33" s="3"/>
    </row>
    <row r="34" spans="1:232" s="4" customFormat="1" ht="27.75" customHeight="1" thickBot="1" x14ac:dyDescent="0.3">
      <c r="A34" s="144" t="s">
        <v>115</v>
      </c>
      <c r="B34" s="139"/>
      <c r="C34" s="140">
        <f>SUM(C4:C19)*1.25+SUM(C24:C32)</f>
        <v>1943808.4958629562</v>
      </c>
      <c r="D34" s="140">
        <f>SUM(D4:D19)*1.25+SUM(D24:D32)</f>
        <v>1274179.9467112501</v>
      </c>
      <c r="E34" s="141">
        <f>SUM(E4:E19)*1.25+SUM(E24:E32)</f>
        <v>355357.52625</v>
      </c>
      <c r="F34" s="142">
        <f>C34+D34+E34</f>
        <v>3573345.9688242064</v>
      </c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7"/>
      <c r="EC34" s="107"/>
      <c r="ED34" s="107"/>
      <c r="EE34" s="107"/>
      <c r="EF34" s="107"/>
      <c r="EG34" s="107"/>
      <c r="EH34" s="107"/>
      <c r="EI34" s="107"/>
      <c r="EJ34" s="107"/>
      <c r="EK34" s="107"/>
      <c r="EL34" s="107"/>
      <c r="EM34" s="107"/>
      <c r="EN34" s="107"/>
      <c r="EO34" s="107"/>
      <c r="EP34" s="107"/>
      <c r="EQ34" s="107"/>
      <c r="ER34" s="107"/>
      <c r="ES34" s="107"/>
      <c r="ET34" s="107"/>
      <c r="EU34" s="107"/>
      <c r="EV34" s="107"/>
      <c r="EW34" s="107"/>
      <c r="EX34" s="107"/>
      <c r="EY34" s="107"/>
      <c r="EZ34" s="107"/>
      <c r="FA34" s="107"/>
      <c r="FB34" s="107"/>
      <c r="FC34" s="107"/>
      <c r="FD34" s="107"/>
      <c r="FE34" s="107"/>
      <c r="FF34" s="107"/>
      <c r="FG34" s="107"/>
      <c r="FH34" s="107"/>
      <c r="FI34" s="107"/>
      <c r="FJ34" s="107"/>
      <c r="FK34" s="107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</row>
    <row r="35" spans="1:232" s="4" customFormat="1" x14ac:dyDescent="0.25">
      <c r="A35" s="15"/>
      <c r="B35" s="21"/>
      <c r="C35" s="14"/>
      <c r="D35" s="14"/>
      <c r="E35" s="14"/>
      <c r="F35" s="14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</row>
    <row r="36" spans="1:232" s="4" customFormat="1" x14ac:dyDescent="0.25">
      <c r="A36" s="95"/>
      <c r="B36" s="95"/>
      <c r="C36" s="95"/>
      <c r="D36" s="95"/>
      <c r="E36" s="95"/>
      <c r="F36" s="95"/>
      <c r="G36" s="95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7"/>
      <c r="HV36" s="107"/>
      <c r="HW36" s="107"/>
      <c r="HX36" s="107"/>
    </row>
    <row r="37" spans="1:232" s="4" customFormat="1" x14ac:dyDescent="0.25">
      <c r="A37" s="95"/>
      <c r="B37" s="95"/>
      <c r="C37" s="95"/>
      <c r="D37" s="95"/>
      <c r="E37" s="95"/>
      <c r="F37" s="95"/>
      <c r="G37" s="95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7"/>
      <c r="FD37" s="107"/>
      <c r="FE37" s="107"/>
      <c r="FF37" s="107"/>
      <c r="FG37" s="107"/>
      <c r="FH37" s="107"/>
      <c r="FI37" s="107"/>
      <c r="FJ37" s="107"/>
      <c r="FK37" s="107"/>
      <c r="FL37" s="107"/>
      <c r="FM37" s="107"/>
      <c r="FN37" s="107"/>
      <c r="FO37" s="107"/>
      <c r="FP37" s="107"/>
      <c r="FQ37" s="107"/>
      <c r="FR37" s="107"/>
      <c r="FS37" s="107"/>
      <c r="FT37" s="107"/>
      <c r="FU37" s="107"/>
      <c r="FV37" s="107"/>
      <c r="FW37" s="107"/>
      <c r="FX37" s="107"/>
      <c r="FY37" s="107"/>
      <c r="FZ37" s="107"/>
      <c r="GA37" s="107"/>
      <c r="GB37" s="107"/>
      <c r="GC37" s="107"/>
      <c r="GD37" s="107"/>
      <c r="GE37" s="107"/>
      <c r="GF37" s="107"/>
      <c r="GG37" s="107"/>
      <c r="GH37" s="107"/>
      <c r="GI37" s="107"/>
      <c r="GJ37" s="107"/>
      <c r="GK37" s="107"/>
      <c r="GL37" s="107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7"/>
      <c r="HV37" s="107"/>
      <c r="HW37" s="107"/>
      <c r="HX37" s="107"/>
    </row>
    <row r="38" spans="1:232" x14ac:dyDescent="0.25">
      <c r="A38" s="95"/>
      <c r="B38" s="95"/>
      <c r="C38" s="95"/>
      <c r="D38" s="95"/>
      <c r="E38" s="95"/>
      <c r="F38" s="95"/>
      <c r="G38" s="95"/>
    </row>
    <row r="39" spans="1:232" x14ac:dyDescent="0.25">
      <c r="A39" s="95"/>
      <c r="B39" s="95"/>
      <c r="C39" s="95"/>
      <c r="D39" s="95"/>
      <c r="E39" s="95"/>
      <c r="F39" s="95"/>
      <c r="G39" s="95"/>
    </row>
    <row r="40" spans="1:232" x14ac:dyDescent="0.25">
      <c r="A40" s="95"/>
      <c r="B40" s="95"/>
      <c r="C40" s="95"/>
      <c r="D40" s="95"/>
      <c r="E40" s="95"/>
      <c r="F40" s="95"/>
      <c r="G40" s="95"/>
    </row>
    <row r="41" spans="1:232" x14ac:dyDescent="0.25">
      <c r="A41" s="95"/>
      <c r="B41" s="95"/>
      <c r="C41" s="95"/>
      <c r="D41" s="95"/>
      <c r="E41" s="95"/>
      <c r="F41" s="95"/>
      <c r="G41" s="95"/>
    </row>
    <row r="42" spans="1:232" x14ac:dyDescent="0.25">
      <c r="A42" s="95"/>
      <c r="B42" s="95"/>
      <c r="C42" s="95"/>
      <c r="D42" s="95"/>
      <c r="E42" s="95"/>
      <c r="F42" s="95"/>
      <c r="G42" s="95"/>
    </row>
    <row r="43" spans="1:232" x14ac:dyDescent="0.25">
      <c r="A43" s="95"/>
      <c r="B43" s="95"/>
      <c r="C43" s="95"/>
      <c r="D43" s="95"/>
      <c r="E43" s="95"/>
      <c r="F43" s="95"/>
      <c r="G43" s="95"/>
    </row>
    <row r="44" spans="1:232" x14ac:dyDescent="0.25">
      <c r="A44" s="95"/>
      <c r="B44" s="95"/>
      <c r="C44" s="95"/>
      <c r="D44" s="95"/>
      <c r="E44" s="95"/>
      <c r="F44" s="95"/>
      <c r="G44" s="95"/>
    </row>
    <row r="45" spans="1:232" x14ac:dyDescent="0.25">
      <c r="A45" s="95"/>
      <c r="B45" s="95"/>
      <c r="C45" s="95"/>
      <c r="D45" s="95"/>
      <c r="E45" s="95"/>
      <c r="F45" s="95"/>
      <c r="G45" s="95"/>
    </row>
    <row r="46" spans="1:232" x14ac:dyDescent="0.25">
      <c r="A46" s="95"/>
      <c r="B46" s="95"/>
      <c r="C46" s="95"/>
      <c r="D46" s="95"/>
      <c r="E46" s="95"/>
      <c r="F46" s="95"/>
      <c r="G46" s="95"/>
    </row>
    <row r="47" spans="1:232" x14ac:dyDescent="0.25">
      <c r="A47" s="95"/>
      <c r="B47" s="95"/>
      <c r="C47" s="95"/>
      <c r="D47" s="95"/>
      <c r="E47" s="95"/>
      <c r="F47" s="95"/>
      <c r="G47" s="95"/>
    </row>
    <row r="48" spans="1:232" x14ac:dyDescent="0.25">
      <c r="A48" s="95"/>
      <c r="B48" s="95"/>
      <c r="C48" s="95"/>
      <c r="D48" s="95"/>
      <c r="E48" s="95"/>
      <c r="F48" s="95"/>
      <c r="G48" s="95"/>
    </row>
    <row r="49" spans="1:7" x14ac:dyDescent="0.25">
      <c r="A49" s="95"/>
      <c r="B49" s="95"/>
      <c r="C49" s="95"/>
      <c r="D49" s="95"/>
      <c r="E49" s="95"/>
      <c r="F49" s="95"/>
      <c r="G49" s="95"/>
    </row>
    <row r="50" spans="1:7" x14ac:dyDescent="0.25">
      <c r="A50" s="122"/>
      <c r="B50" s="95"/>
      <c r="C50" s="95"/>
      <c r="D50" s="95"/>
      <c r="E50" s="95"/>
      <c r="F50" s="95"/>
    </row>
    <row r="51" spans="1:7" x14ac:dyDescent="0.25">
      <c r="A51" s="29"/>
      <c r="B51" s="93"/>
      <c r="C51" s="93"/>
      <c r="D51" s="93"/>
      <c r="E51" s="93"/>
      <c r="F51" s="93"/>
    </row>
    <row r="52" spans="1:7" x14ac:dyDescent="0.25">
      <c r="A52" s="30"/>
      <c r="B52" s="94"/>
      <c r="C52" s="95"/>
      <c r="D52" s="95"/>
      <c r="E52" s="95"/>
      <c r="F52" s="95"/>
    </row>
    <row r="53" spans="1:7" x14ac:dyDescent="0.25">
      <c r="A53" s="30"/>
      <c r="B53" s="94"/>
      <c r="C53" s="95"/>
      <c r="D53" s="95"/>
      <c r="E53" s="95"/>
      <c r="F53" s="95"/>
    </row>
    <row r="54" spans="1:7" x14ac:dyDescent="0.25">
      <c r="A54" s="30"/>
      <c r="B54" s="94"/>
      <c r="C54" s="95"/>
      <c r="D54" s="95"/>
      <c r="E54" s="95"/>
      <c r="F54" s="95"/>
    </row>
    <row r="55" spans="1:7" x14ac:dyDescent="0.25">
      <c r="A55" s="31"/>
      <c r="B55" s="94"/>
      <c r="C55" s="94"/>
      <c r="D55" s="94"/>
      <c r="E55" s="94"/>
      <c r="F55" s="94"/>
    </row>
    <row r="56" spans="1:7" x14ac:dyDescent="0.25">
      <c r="A56" s="31"/>
      <c r="B56" s="94"/>
      <c r="C56" s="94"/>
      <c r="D56" s="94"/>
      <c r="E56" s="94"/>
      <c r="F56" s="94"/>
    </row>
    <row r="57" spans="1:7" x14ac:dyDescent="0.25">
      <c r="A57" s="31"/>
      <c r="B57" s="94"/>
      <c r="C57" s="94"/>
      <c r="D57" s="94"/>
      <c r="E57" s="94"/>
      <c r="F57" s="94"/>
    </row>
    <row r="58" spans="1:7" x14ac:dyDescent="0.25">
      <c r="A58" s="31"/>
      <c r="B58" s="94"/>
      <c r="C58" s="95"/>
      <c r="D58" s="95"/>
      <c r="E58" s="95"/>
      <c r="F58" s="95"/>
    </row>
    <row r="59" spans="1:7" x14ac:dyDescent="0.25">
      <c r="A59" s="31"/>
      <c r="B59" s="94"/>
      <c r="C59" s="95"/>
      <c r="D59" s="95"/>
      <c r="E59" s="95"/>
      <c r="F59" s="95"/>
    </row>
    <row r="60" spans="1:7" x14ac:dyDescent="0.25">
      <c r="A60" s="31"/>
      <c r="B60" s="94"/>
      <c r="C60" s="95"/>
      <c r="D60" s="95"/>
      <c r="E60" s="95"/>
      <c r="F60" s="95"/>
    </row>
    <row r="61" spans="1:7" x14ac:dyDescent="0.25">
      <c r="A61" s="31"/>
      <c r="B61" s="96"/>
      <c r="C61" s="96"/>
      <c r="D61" s="96"/>
      <c r="E61" s="96"/>
      <c r="F61" s="96"/>
    </row>
    <row r="62" spans="1:7" x14ac:dyDescent="0.25">
      <c r="A62" s="31"/>
      <c r="B62" s="97"/>
      <c r="C62" s="97"/>
      <c r="D62" s="88"/>
      <c r="E62" s="88"/>
      <c r="F62" s="88"/>
    </row>
    <row r="64" spans="1:7" x14ac:dyDescent="0.25">
      <c r="B64" s="108"/>
    </row>
    <row r="65" spans="2:2" x14ac:dyDescent="0.25">
      <c r="B65" s="108"/>
    </row>
    <row r="66" spans="2:2" x14ac:dyDescent="0.25">
      <c r="B66" s="108"/>
    </row>
    <row r="67" spans="2:2" x14ac:dyDescent="0.25">
      <c r="B67" s="108"/>
    </row>
    <row r="68" spans="2:2" x14ac:dyDescent="0.25">
      <c r="B68" s="108"/>
    </row>
  </sheetData>
  <mergeCells count="2">
    <mergeCell ref="C3:E3"/>
    <mergeCell ref="B1:F1"/>
  </mergeCells>
  <printOptions gridLines="1"/>
  <pageMargins left="0.27" right="0.24" top="0.25" bottom="0.25" header="0.5" footer="0.32"/>
  <pageSetup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74"/>
  <sheetViews>
    <sheetView topLeftCell="A10" zoomScaleNormal="100" workbookViewId="0">
      <selection activeCell="H25" sqref="H25"/>
    </sheetView>
  </sheetViews>
  <sheetFormatPr defaultColWidth="9.140625" defaultRowHeight="15" x14ac:dyDescent="0.25"/>
  <cols>
    <col min="1" max="1" width="18.85546875" style="44" customWidth="1"/>
    <col min="2" max="2" width="19.42578125" style="44" customWidth="1"/>
    <col min="3" max="3" width="12.7109375" style="47" customWidth="1"/>
    <col min="4" max="4" width="15.5703125" style="47" customWidth="1"/>
    <col min="5" max="5" width="14.28515625" style="47" customWidth="1"/>
    <col min="6" max="6" width="14.85546875" style="44" bestFit="1" customWidth="1"/>
    <col min="7" max="8" width="18.7109375" style="44" bestFit="1" customWidth="1"/>
    <col min="9" max="9" width="14.7109375" style="44" bestFit="1" customWidth="1"/>
    <col min="10" max="10" width="13.7109375" style="44" bestFit="1" customWidth="1"/>
    <col min="11" max="11" width="6.7109375" style="44" bestFit="1" customWidth="1"/>
    <col min="12" max="12" width="15.5703125" style="44" bestFit="1" customWidth="1"/>
    <col min="13" max="13" width="10.140625" style="44" bestFit="1" customWidth="1"/>
    <col min="14" max="14" width="13.140625" style="44" customWidth="1"/>
    <col min="15" max="15" width="6.7109375" style="45" bestFit="1" customWidth="1"/>
    <col min="16" max="16" width="14.5703125" style="46" customWidth="1"/>
    <col min="17" max="17" width="7.28515625" style="45" bestFit="1" customWidth="1"/>
    <col min="18" max="18" width="15.7109375" style="46" bestFit="1" customWidth="1"/>
    <col min="19" max="19" width="15.5703125" style="44" customWidth="1"/>
    <col min="20" max="20" width="15.28515625" style="44" bestFit="1" customWidth="1"/>
    <col min="21" max="21" width="11.140625" style="44" bestFit="1" customWidth="1"/>
    <col min="22" max="22" width="11.85546875" style="44" customWidth="1"/>
    <col min="23" max="23" width="13.42578125" style="44" bestFit="1" customWidth="1"/>
    <col min="24" max="24" width="12.5703125" style="44" bestFit="1" customWidth="1"/>
    <col min="25" max="25" width="0" style="44" hidden="1" customWidth="1"/>
    <col min="26" max="26" width="10.7109375" style="44" hidden="1" customWidth="1"/>
    <col min="27" max="27" width="14.28515625" style="44" customWidth="1"/>
    <col min="28" max="29" width="15.85546875" style="44" bestFit="1" customWidth="1"/>
    <col min="30" max="30" width="12.28515625" style="44" bestFit="1" customWidth="1"/>
    <col min="31" max="31" width="9.140625" style="44"/>
    <col min="32" max="32" width="12.85546875" style="44" customWidth="1"/>
    <col min="33" max="33" width="9.140625" style="44"/>
    <col min="34" max="34" width="13" style="44" customWidth="1"/>
    <col min="35" max="35" width="9.140625" style="44"/>
    <col min="36" max="42" width="12.85546875" style="44" customWidth="1"/>
    <col min="43" max="43" width="10.5703125" style="44" customWidth="1"/>
    <col min="44" max="44" width="11.42578125" style="44" customWidth="1"/>
    <col min="45" max="16384" width="9.140625" style="44"/>
  </cols>
  <sheetData>
    <row r="1" spans="1:10" ht="30" x14ac:dyDescent="0.25">
      <c r="A1" s="41"/>
      <c r="B1" s="42" t="s">
        <v>33</v>
      </c>
      <c r="C1" s="43" t="s">
        <v>35</v>
      </c>
      <c r="D1" s="43" t="s">
        <v>43</v>
      </c>
      <c r="E1" s="43" t="s">
        <v>44</v>
      </c>
    </row>
    <row r="2" spans="1:10" x14ac:dyDescent="0.25">
      <c r="A2" s="44" t="s">
        <v>29</v>
      </c>
      <c r="H2" s="44" t="s">
        <v>30</v>
      </c>
      <c r="I2" s="44" t="s">
        <v>4</v>
      </c>
      <c r="J2" s="44" t="s">
        <v>8</v>
      </c>
    </row>
    <row r="3" spans="1:10" x14ac:dyDescent="0.25">
      <c r="A3" s="48" t="s">
        <v>30</v>
      </c>
      <c r="B3" s="61">
        <v>17800000</v>
      </c>
      <c r="C3" s="50">
        <v>3.7499999999999999E-2</v>
      </c>
      <c r="D3" s="51">
        <f>9794762/17881998</f>
        <v>0.54774427331889874</v>
      </c>
      <c r="E3" s="51">
        <f>10696305/17881998</f>
        <v>0.59816050756744299</v>
      </c>
      <c r="F3" s="57"/>
      <c r="G3" s="44" t="s">
        <v>54</v>
      </c>
      <c r="H3" s="58">
        <f>B3+B9</f>
        <v>31263442</v>
      </c>
      <c r="I3" s="58">
        <f>B4+B10</f>
        <v>16745316</v>
      </c>
      <c r="J3" s="58">
        <f>B5+B11</f>
        <v>5918817</v>
      </c>
    </row>
    <row r="4" spans="1:10" x14ac:dyDescent="0.25">
      <c r="A4" s="48" t="s">
        <v>4</v>
      </c>
      <c r="B4" s="49">
        <v>14354117</v>
      </c>
      <c r="C4" s="50">
        <v>4.2999999999999997E-2</v>
      </c>
      <c r="D4" s="51">
        <v>0.39900000000000002</v>
      </c>
      <c r="E4" s="51">
        <v>0.33500000000000002</v>
      </c>
      <c r="F4" s="70"/>
      <c r="G4" s="44" t="s">
        <v>55</v>
      </c>
      <c r="H4" s="112">
        <f>H3/B13</f>
        <v>0.57973016587525028</v>
      </c>
      <c r="I4" s="59">
        <f>I3/B13</f>
        <v>0.31051490818936323</v>
      </c>
      <c r="J4" s="59">
        <f>J3/B13</f>
        <v>0.10975492593538649</v>
      </c>
    </row>
    <row r="5" spans="1:10" x14ac:dyDescent="0.25">
      <c r="A5" s="48" t="s">
        <v>26</v>
      </c>
      <c r="B5" s="60">
        <v>5763674</v>
      </c>
      <c r="C5" s="50">
        <v>1.7999999999999999E-2</v>
      </c>
      <c r="D5" s="184">
        <v>1</v>
      </c>
      <c r="E5" s="184">
        <v>1</v>
      </c>
    </row>
    <row r="6" spans="1:10" x14ac:dyDescent="0.25">
      <c r="A6" s="44" t="s">
        <v>56</v>
      </c>
      <c r="B6" s="58">
        <f>SUM(B3:B5)</f>
        <v>37917791</v>
      </c>
      <c r="C6" s="50"/>
    </row>
    <row r="7" spans="1:10" x14ac:dyDescent="0.25">
      <c r="B7" s="58"/>
      <c r="C7" s="50"/>
      <c r="G7" s="44" t="s">
        <v>50</v>
      </c>
      <c r="H7" s="58">
        <v>3000000</v>
      </c>
    </row>
    <row r="8" spans="1:10" x14ac:dyDescent="0.25">
      <c r="A8" s="44" t="s">
        <v>31</v>
      </c>
      <c r="B8" s="49"/>
      <c r="C8" s="50"/>
      <c r="D8" s="51"/>
      <c r="E8" s="51"/>
      <c r="G8" s="44" t="s">
        <v>51</v>
      </c>
      <c r="H8" s="113">
        <f>H7*0.58</f>
        <v>1739999.9999999998</v>
      </c>
    </row>
    <row r="9" spans="1:10" x14ac:dyDescent="0.25">
      <c r="A9" s="48" t="s">
        <v>30</v>
      </c>
      <c r="B9" s="61">
        <f>13353148+110294</f>
        <v>13463442</v>
      </c>
      <c r="C9" s="50">
        <v>3.7499999999999999E-2</v>
      </c>
      <c r="D9" s="51">
        <v>0.67</v>
      </c>
      <c r="E9" s="51">
        <v>0.628</v>
      </c>
      <c r="G9" s="44" t="s">
        <v>52</v>
      </c>
      <c r="H9" s="58">
        <f>H7*0.31</f>
        <v>930000</v>
      </c>
    </row>
    <row r="10" spans="1:10" x14ac:dyDescent="0.25">
      <c r="A10" s="48" t="s">
        <v>32</v>
      </c>
      <c r="B10" s="49">
        <v>2391199</v>
      </c>
      <c r="C10" s="50">
        <v>4.2999999999999997E-2</v>
      </c>
      <c r="D10" s="51">
        <v>0</v>
      </c>
      <c r="E10" s="51">
        <v>0</v>
      </c>
      <c r="G10" s="44" t="s">
        <v>53</v>
      </c>
      <c r="H10" s="58">
        <f>H7*0.11</f>
        <v>330000</v>
      </c>
    </row>
    <row r="11" spans="1:10" x14ac:dyDescent="0.25">
      <c r="A11" s="48" t="s">
        <v>26</v>
      </c>
      <c r="B11" s="60">
        <v>155143</v>
      </c>
      <c r="C11" s="185">
        <v>1.7999999999999999E-2</v>
      </c>
      <c r="D11" s="51">
        <v>0</v>
      </c>
      <c r="E11" s="51">
        <v>0</v>
      </c>
    </row>
    <row r="12" spans="1:10" x14ac:dyDescent="0.25">
      <c r="A12" s="44" t="s">
        <v>57</v>
      </c>
      <c r="B12" s="62">
        <f>SUM(B9:B11)</f>
        <v>16009784</v>
      </c>
    </row>
    <row r="13" spans="1:10" ht="45" x14ac:dyDescent="0.25">
      <c r="A13" s="44" t="s">
        <v>58</v>
      </c>
      <c r="B13" s="58">
        <f>B6+B12</f>
        <v>53927575</v>
      </c>
      <c r="D13" s="65"/>
      <c r="G13" s="63" t="s">
        <v>61</v>
      </c>
      <c r="H13" s="64">
        <v>0.38</v>
      </c>
    </row>
    <row r="15" spans="1:10" x14ac:dyDescent="0.25">
      <c r="A15" s="44" t="s">
        <v>34</v>
      </c>
      <c r="F15" s="44" t="s">
        <v>65</v>
      </c>
      <c r="G15" s="44">
        <v>0.67</v>
      </c>
    </row>
    <row r="16" spans="1:10" x14ac:dyDescent="0.25">
      <c r="A16" s="44" t="s">
        <v>45</v>
      </c>
      <c r="F16" s="44" t="s">
        <v>66</v>
      </c>
      <c r="G16" s="44">
        <v>0.39</v>
      </c>
    </row>
    <row r="17" spans="1:6" x14ac:dyDescent="0.25">
      <c r="A17" s="44" t="s">
        <v>60</v>
      </c>
      <c r="F17" s="44" t="s">
        <v>67</v>
      </c>
    </row>
    <row r="19" spans="1:6" x14ac:dyDescent="0.25">
      <c r="A19" s="44" t="s">
        <v>74</v>
      </c>
      <c r="B19" s="58">
        <v>76327</v>
      </c>
    </row>
    <row r="20" spans="1:6" x14ac:dyDescent="0.25">
      <c r="A20" s="44" t="s">
        <v>75</v>
      </c>
      <c r="B20" s="57">
        <f>B19*1.0175*0.005</f>
        <v>388.31361250000003</v>
      </c>
    </row>
    <row r="21" spans="1:6" x14ac:dyDescent="0.25">
      <c r="A21" s="44" t="s">
        <v>76</v>
      </c>
      <c r="B21" s="57">
        <f>B20*0.6</f>
        <v>232.9881675</v>
      </c>
    </row>
    <row r="22" spans="1:6" x14ac:dyDescent="0.25">
      <c r="B22" s="81"/>
    </row>
    <row r="23" spans="1:6" x14ac:dyDescent="0.25">
      <c r="A23" s="44" t="s">
        <v>49</v>
      </c>
      <c r="B23" s="57">
        <f>417*2.35*12</f>
        <v>11759.400000000001</v>
      </c>
      <c r="C23" s="44"/>
      <c r="D23" s="44"/>
      <c r="E23" s="44"/>
    </row>
    <row r="24" spans="1:6" x14ac:dyDescent="0.25">
      <c r="C24" s="44"/>
      <c r="D24" s="44"/>
      <c r="E24" s="44"/>
    </row>
    <row r="25" spans="1:6" x14ac:dyDescent="0.25">
      <c r="A25" s="41" t="s">
        <v>16</v>
      </c>
      <c r="B25" s="42" t="s">
        <v>17</v>
      </c>
      <c r="C25" s="42" t="s">
        <v>24</v>
      </c>
      <c r="D25" s="44"/>
      <c r="E25" s="44"/>
    </row>
    <row r="26" spans="1:6" x14ac:dyDescent="0.25">
      <c r="A26" s="52" t="s">
        <v>18</v>
      </c>
      <c r="B26" s="53">
        <v>150</v>
      </c>
      <c r="C26" s="54">
        <v>450</v>
      </c>
      <c r="D26" s="44"/>
      <c r="E26" s="44"/>
      <c r="F26" s="44">
        <v>40000</v>
      </c>
    </row>
    <row r="27" spans="1:6" x14ac:dyDescent="0.25">
      <c r="A27" s="52" t="s">
        <v>19</v>
      </c>
      <c r="B27" s="53">
        <v>250</v>
      </c>
      <c r="C27" s="54">
        <v>850</v>
      </c>
      <c r="F27" s="44">
        <f>F26/2080</f>
        <v>19.23076923076923</v>
      </c>
    </row>
    <row r="28" spans="1:6" x14ac:dyDescent="0.25">
      <c r="A28" s="52" t="s">
        <v>20</v>
      </c>
      <c r="B28" s="53">
        <v>300</v>
      </c>
      <c r="C28" s="54">
        <v>1100</v>
      </c>
      <c r="F28" s="44">
        <f>F27*40</f>
        <v>769.23076923076917</v>
      </c>
    </row>
    <row r="29" spans="1:6" x14ac:dyDescent="0.25">
      <c r="F29" s="44">
        <f>F28*1.25</f>
        <v>961.53846153846143</v>
      </c>
    </row>
    <row r="30" spans="1:6" x14ac:dyDescent="0.25">
      <c r="A30" s="55" t="s">
        <v>46</v>
      </c>
    </row>
    <row r="31" spans="1:6" x14ac:dyDescent="0.25">
      <c r="A31" s="56" t="s">
        <v>18</v>
      </c>
      <c r="B31" s="53">
        <v>500</v>
      </c>
    </row>
    <row r="32" spans="1:6" x14ac:dyDescent="0.25">
      <c r="A32" s="52" t="s">
        <v>19</v>
      </c>
      <c r="B32" s="53">
        <v>1000</v>
      </c>
    </row>
    <row r="33" spans="1:7" x14ac:dyDescent="0.25">
      <c r="A33" s="56" t="s">
        <v>20</v>
      </c>
      <c r="B33" s="53">
        <v>1000</v>
      </c>
    </row>
    <row r="35" spans="1:7" x14ac:dyDescent="0.25">
      <c r="A35" s="44" t="s">
        <v>47</v>
      </c>
    </row>
    <row r="36" spans="1:7" x14ac:dyDescent="0.25">
      <c r="A36" s="48" t="s">
        <v>30</v>
      </c>
      <c r="B36" s="57">
        <v>42000</v>
      </c>
    </row>
    <row r="37" spans="1:7" x14ac:dyDescent="0.25">
      <c r="A37" s="48" t="s">
        <v>48</v>
      </c>
      <c r="B37" s="57">
        <v>12000</v>
      </c>
    </row>
    <row r="38" spans="1:7" x14ac:dyDescent="0.25">
      <c r="A38" s="48" t="s">
        <v>32</v>
      </c>
      <c r="B38" s="57">
        <v>82500</v>
      </c>
    </row>
    <row r="39" spans="1:7" x14ac:dyDescent="0.25">
      <c r="A39" s="48" t="s">
        <v>26</v>
      </c>
      <c r="B39" s="57">
        <v>13500</v>
      </c>
    </row>
    <row r="40" spans="1:7" x14ac:dyDescent="0.25">
      <c r="B40" s="57">
        <f>SUM(B36:B39)</f>
        <v>150000</v>
      </c>
    </row>
    <row r="43" spans="1:7" x14ac:dyDescent="0.25">
      <c r="A43" s="44" t="s">
        <v>59</v>
      </c>
      <c r="C43" s="44"/>
      <c r="D43" s="44"/>
      <c r="F43" s="1" t="s">
        <v>79</v>
      </c>
      <c r="G43" s="1"/>
    </row>
    <row r="44" spans="1:7" x14ac:dyDescent="0.25">
      <c r="A44" s="44" t="s">
        <v>4</v>
      </c>
      <c r="B44" s="44">
        <f>315+88</f>
        <v>403</v>
      </c>
      <c r="C44" s="44"/>
      <c r="D44" s="44"/>
      <c r="F44" s="1" t="s">
        <v>80</v>
      </c>
      <c r="G44" s="1"/>
    </row>
    <row r="45" spans="1:7" x14ac:dyDescent="0.25">
      <c r="A45" s="44" t="s">
        <v>63</v>
      </c>
      <c r="B45" s="44">
        <v>390</v>
      </c>
      <c r="C45" s="44"/>
      <c r="D45" s="44"/>
      <c r="F45" s="1" t="s">
        <v>81</v>
      </c>
      <c r="G45" s="1"/>
    </row>
    <row r="46" spans="1:7" x14ac:dyDescent="0.25">
      <c r="A46" s="44" t="s">
        <v>30</v>
      </c>
      <c r="B46" s="44">
        <v>247</v>
      </c>
      <c r="C46" s="44"/>
      <c r="D46" s="44"/>
      <c r="F46" s="1" t="s">
        <v>82</v>
      </c>
      <c r="G46" s="2">
        <v>1.5599999999999999E-2</v>
      </c>
    </row>
    <row r="47" spans="1:7" x14ac:dyDescent="0.25">
      <c r="A47" s="44" t="s">
        <v>62</v>
      </c>
      <c r="B47" s="44">
        <v>420</v>
      </c>
      <c r="C47" s="44"/>
      <c r="D47" s="44"/>
      <c r="F47" s="1"/>
      <c r="G47" s="1"/>
    </row>
    <row r="48" spans="1:7" x14ac:dyDescent="0.25">
      <c r="A48" s="44" t="s">
        <v>26</v>
      </c>
      <c r="B48" s="44">
        <v>72</v>
      </c>
      <c r="C48" s="44"/>
      <c r="D48" s="44"/>
      <c r="F48" s="1"/>
      <c r="G48" s="1"/>
    </row>
    <row r="49" spans="1:7" x14ac:dyDescent="0.25">
      <c r="A49" s="44" t="s">
        <v>68</v>
      </c>
      <c r="B49" s="44">
        <v>42313</v>
      </c>
      <c r="C49" s="44"/>
      <c r="D49" s="44"/>
      <c r="F49" s="1" t="s">
        <v>101</v>
      </c>
      <c r="G49" s="1"/>
    </row>
    <row r="50" spans="1:7" x14ac:dyDescent="0.25">
      <c r="C50" s="44"/>
      <c r="D50" s="44"/>
      <c r="F50" s="1" t="s">
        <v>103</v>
      </c>
      <c r="G50" s="1" t="s">
        <v>102</v>
      </c>
    </row>
    <row r="51" spans="1:7" x14ac:dyDescent="0.25">
      <c r="A51" s="44" t="s">
        <v>72</v>
      </c>
      <c r="F51" s="1" t="s">
        <v>83</v>
      </c>
      <c r="G51" s="109">
        <f>(684.96-663.56)/2*12</f>
        <v>128.40000000000055</v>
      </c>
    </row>
    <row r="52" spans="1:7" x14ac:dyDescent="0.25">
      <c r="A52" s="44" t="s">
        <v>30</v>
      </c>
      <c r="B52" s="58">
        <f>B3/170</f>
        <v>104705.88235294117</v>
      </c>
      <c r="F52" s="1" t="s">
        <v>84</v>
      </c>
      <c r="G52" s="109">
        <v>0</v>
      </c>
    </row>
    <row r="53" spans="1:7" x14ac:dyDescent="0.25">
      <c r="A53" s="44" t="s">
        <v>73</v>
      </c>
      <c r="B53" s="58">
        <f>B9/170</f>
        <v>79196.717647058817</v>
      </c>
      <c r="F53" s="1" t="s">
        <v>85</v>
      </c>
      <c r="G53" s="109">
        <f>(684.96-586.18)/2*12</f>
        <v>592.68000000000052</v>
      </c>
    </row>
    <row r="54" spans="1:7" x14ac:dyDescent="0.25">
      <c r="A54" s="44" t="s">
        <v>4</v>
      </c>
      <c r="B54" s="58">
        <f>B4/260</f>
        <v>55208.142307692309</v>
      </c>
      <c r="F54" s="1" t="s">
        <v>86</v>
      </c>
      <c r="G54" s="109">
        <f>(684.96-520.63)/2*12</f>
        <v>985.98000000000025</v>
      </c>
    </row>
    <row r="55" spans="1:7" x14ac:dyDescent="0.25">
      <c r="A55" s="44" t="s">
        <v>8</v>
      </c>
      <c r="B55" s="58">
        <f>B5/260</f>
        <v>22167.976923076923</v>
      </c>
      <c r="F55" s="1" t="s">
        <v>87</v>
      </c>
      <c r="G55" s="109">
        <f>(684.96-446.68)/2*12</f>
        <v>1429.6800000000003</v>
      </c>
    </row>
    <row r="56" spans="1:7" x14ac:dyDescent="0.25">
      <c r="B56" s="58"/>
      <c r="F56" s="110" t="s">
        <v>104</v>
      </c>
      <c r="G56" s="111">
        <f>(684.96-0)/2*12</f>
        <v>4109.76</v>
      </c>
    </row>
    <row r="57" spans="1:7" x14ac:dyDescent="0.25">
      <c r="A57" s="66">
        <v>430623.51</v>
      </c>
    </row>
    <row r="58" spans="1:7" x14ac:dyDescent="0.25">
      <c r="A58" s="66">
        <v>71735.97</v>
      </c>
    </row>
    <row r="59" spans="1:7" x14ac:dyDescent="0.25">
      <c r="A59" s="66">
        <f>SUM(A57:A58)</f>
        <v>502359.48</v>
      </c>
      <c r="B59" s="44">
        <f>A59*1.25</f>
        <v>627949.35</v>
      </c>
    </row>
    <row r="60" spans="1:7" x14ac:dyDescent="0.25">
      <c r="A60" s="66">
        <f>A59/(403+247+72)</f>
        <v>695.78875346260384</v>
      </c>
    </row>
    <row r="63" spans="1:7" x14ac:dyDescent="0.25">
      <c r="A63" s="44" t="s">
        <v>29</v>
      </c>
    </row>
    <row r="64" spans="1:7" x14ac:dyDescent="0.25">
      <c r="A64" s="44" t="s">
        <v>30</v>
      </c>
      <c r="B64" s="67">
        <v>17881998</v>
      </c>
      <c r="D64" s="68">
        <f>B64+B65+B66</f>
        <v>37999789</v>
      </c>
    </row>
    <row r="65" spans="1:4" x14ac:dyDescent="0.25">
      <c r="A65" s="44" t="s">
        <v>4</v>
      </c>
      <c r="B65" s="67">
        <v>14354117</v>
      </c>
      <c r="D65" s="68">
        <f>D64*0.0125</f>
        <v>474997.36250000005</v>
      </c>
    </row>
    <row r="66" spans="1:4" x14ac:dyDescent="0.25">
      <c r="A66" s="44" t="s">
        <v>26</v>
      </c>
      <c r="B66" s="67">
        <v>5763674</v>
      </c>
      <c r="D66" s="69">
        <f>D65/(403+247+72)</f>
        <v>657.89108379501397</v>
      </c>
    </row>
    <row r="67" spans="1:4" x14ac:dyDescent="0.25">
      <c r="A67" s="44" t="s">
        <v>56</v>
      </c>
      <c r="B67" s="67">
        <v>37999789</v>
      </c>
    </row>
    <row r="68" spans="1:4" x14ac:dyDescent="0.25">
      <c r="B68" s="67"/>
    </row>
    <row r="69" spans="1:4" x14ac:dyDescent="0.25">
      <c r="A69" s="44" t="s">
        <v>31</v>
      </c>
      <c r="B69" s="67"/>
    </row>
    <row r="70" spans="1:4" x14ac:dyDescent="0.25">
      <c r="A70" s="44" t="s">
        <v>30</v>
      </c>
      <c r="B70" s="67">
        <v>13463442</v>
      </c>
    </row>
    <row r="71" spans="1:4" x14ac:dyDescent="0.25">
      <c r="A71" s="44" t="s">
        <v>32</v>
      </c>
      <c r="B71" s="67">
        <v>2391199</v>
      </c>
    </row>
    <row r="72" spans="1:4" x14ac:dyDescent="0.25">
      <c r="A72" s="44" t="s">
        <v>26</v>
      </c>
      <c r="B72" s="67">
        <v>155143</v>
      </c>
    </row>
    <row r="73" spans="1:4" x14ac:dyDescent="0.25">
      <c r="A73" s="44" t="s">
        <v>57</v>
      </c>
      <c r="B73" s="67">
        <v>16009784</v>
      </c>
    </row>
    <row r="74" spans="1:4" x14ac:dyDescent="0.25">
      <c r="A74" s="44" t="s">
        <v>58</v>
      </c>
      <c r="B74" s="67">
        <v>54009573</v>
      </c>
    </row>
  </sheetData>
  <pageMargins left="0.7" right="0.7" top="1.0083333333333333" bottom="0.75" header="0.3" footer="0.3"/>
  <pageSetup fitToHeight="0" orientation="portrait" r:id="rId1"/>
  <headerFooter>
    <oddHeader>&amp;C&amp;12Salary and Insurance Cost Factors
As of 6/24/2013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Costing 11-5-13 - LCCEA #s</vt:lpstr>
      <vt:lpstr>Bargaining Allowance</vt:lpstr>
      <vt:lpstr>Supposal Inputs</vt:lpstr>
      <vt:lpstr>'Bargaining Allowance'!Print_Area</vt:lpstr>
      <vt:lpstr>'Supposal Inputs'!Print_Area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christians</dc:creator>
  <cp:lastModifiedBy>saltj@lanecc.edu</cp:lastModifiedBy>
  <cp:lastPrinted>2013-11-20T19:06:40Z</cp:lastPrinted>
  <dcterms:created xsi:type="dcterms:W3CDTF">2011-05-24T20:37:31Z</dcterms:created>
  <dcterms:modified xsi:type="dcterms:W3CDTF">2013-11-22T03:37:07Z</dcterms:modified>
</cp:coreProperties>
</file>